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UARIO\Documents\DOC DANIELA\ANEXOS 2020 - POA Y PBR\"/>
    </mc:Choice>
  </mc:AlternateContent>
  <bookViews>
    <workbookView xWindow="0" yWindow="0" windowWidth="28800" windowHeight="12330"/>
  </bookViews>
  <sheets>
    <sheet name="POA FINAL 4° TRIMESTRE 2020" sheetId="12" r:id="rId1"/>
    <sheet name="Hoja4" sheetId="8" state="hidden" r:id="rId2"/>
    <sheet name="POA" sheetId="4" state="hidden" r:id="rId3"/>
    <sheet name="Hoja1" sheetId="5" state="hidden" r:id="rId4"/>
    <sheet name="FINANZAS" sheetId="6" state="hidden" r:id="rId5"/>
    <sheet name="pto." sheetId="9" state="hidden" r:id="rId6"/>
    <sheet name="Hoja2" sheetId="10" state="hidden" r:id="rId7"/>
  </sheets>
  <externalReferences>
    <externalReference r:id="rId8"/>
  </externalReferences>
  <definedNames>
    <definedName name="_xlnm._FilterDatabase" localSheetId="4" hidden="1">FINANZAS!#REF!</definedName>
    <definedName name="_xlnm.Print_Area" localSheetId="2">POA!$A$1:$T$100</definedName>
    <definedName name="_xlnm.Print_Area" localSheetId="0">'POA FINAL 4° TRIMESTRE 2020'!$A$1:$T$392</definedName>
    <definedName name="_xlnm.Print_Titles" localSheetId="6">Hoja2!$1:$6</definedName>
    <definedName name="_xlnm.Print_Titles" localSheetId="2">POA!$1:$16</definedName>
    <definedName name="_xlnm.Print_Titles" localSheetId="0">'POA FINAL 4° TRIMESTRE 2020'!$1:$3</definedName>
  </definedNames>
  <calcPr calcId="162913"/>
</workbook>
</file>

<file path=xl/calcChain.xml><?xml version="1.0" encoding="utf-8"?>
<calcChain xmlns="http://schemas.openxmlformats.org/spreadsheetml/2006/main">
  <c r="L372" i="12" l="1"/>
  <c r="L371" i="12"/>
  <c r="R329" i="12" l="1"/>
  <c r="R233" i="12"/>
  <c r="R155" i="12"/>
  <c r="R15" i="12" l="1"/>
  <c r="E137" i="12"/>
  <c r="P137" i="12"/>
  <c r="L61" i="12" l="1"/>
  <c r="L59" i="12" l="1"/>
  <c r="R246" i="12" l="1"/>
  <c r="R262" i="12"/>
  <c r="R278" i="12" l="1"/>
  <c r="R277" i="12"/>
  <c r="R275" i="12"/>
  <c r="R274" i="12"/>
  <c r="R273" i="12"/>
  <c r="R272" i="12"/>
  <c r="S271" i="12"/>
  <c r="R271" i="12"/>
  <c r="R270" i="12"/>
  <c r="R269" i="12"/>
  <c r="R268" i="12"/>
  <c r="S267" i="12"/>
  <c r="R267" i="12"/>
  <c r="R266" i="12"/>
  <c r="R265" i="12"/>
  <c r="R264" i="12"/>
  <c r="T265" i="12" s="1"/>
  <c r="S263" i="12"/>
  <c r="R263" i="12"/>
  <c r="R261" i="12"/>
  <c r="R260" i="12"/>
  <c r="T261" i="12" s="1"/>
  <c r="S259" i="12"/>
  <c r="R259" i="12"/>
  <c r="R258" i="12"/>
  <c r="R257" i="12"/>
  <c r="R256" i="12"/>
  <c r="S255" i="12"/>
  <c r="R255" i="12"/>
  <c r="R254" i="12"/>
  <c r="R253" i="12"/>
  <c r="R252" i="12"/>
  <c r="S251" i="12"/>
  <c r="R251" i="12"/>
  <c r="S253" i="12" s="1"/>
  <c r="R250" i="12"/>
  <c r="R249" i="12"/>
  <c r="R248" i="12"/>
  <c r="T249" i="12" s="1"/>
  <c r="S247" i="12"/>
  <c r="R247" i="12"/>
  <c r="R245" i="12"/>
  <c r="R244" i="12"/>
  <c r="T245" i="12" s="1"/>
  <c r="S243" i="12"/>
  <c r="R243" i="12"/>
  <c r="R242" i="12"/>
  <c r="R241" i="12"/>
  <c r="R240" i="12"/>
  <c r="S239" i="12"/>
  <c r="R239" i="12"/>
  <c r="R238" i="12"/>
  <c r="R237" i="12"/>
  <c r="R236" i="12"/>
  <c r="S235" i="12"/>
  <c r="R235" i="12"/>
  <c r="R234" i="12"/>
  <c r="R232" i="12"/>
  <c r="S231" i="12"/>
  <c r="R231" i="12"/>
  <c r="S233" i="12" s="1"/>
  <c r="D263" i="12"/>
  <c r="D259" i="12"/>
  <c r="D250" i="12"/>
  <c r="D249" i="12"/>
  <c r="D243" i="12"/>
  <c r="D235" i="12"/>
  <c r="D231" i="12"/>
  <c r="P218" i="12"/>
  <c r="O218" i="12"/>
  <c r="N218" i="12"/>
  <c r="M218" i="12"/>
  <c r="L218" i="12"/>
  <c r="K218" i="12"/>
  <c r="J218" i="12"/>
  <c r="I218" i="12"/>
  <c r="H218" i="12"/>
  <c r="G218" i="12"/>
  <c r="F218" i="12"/>
  <c r="E218" i="12"/>
  <c r="P216" i="12"/>
  <c r="O216" i="12"/>
  <c r="N216" i="12"/>
  <c r="M216" i="12"/>
  <c r="L216" i="12"/>
  <c r="K216" i="12"/>
  <c r="J216" i="12"/>
  <c r="I216" i="12"/>
  <c r="H216" i="12"/>
  <c r="G216" i="12"/>
  <c r="F216" i="12"/>
  <c r="E216" i="12"/>
  <c r="P215" i="12"/>
  <c r="O215" i="12"/>
  <c r="N215" i="12"/>
  <c r="M215" i="12"/>
  <c r="L215" i="12"/>
  <c r="K215" i="12"/>
  <c r="R214" i="12"/>
  <c r="R213" i="12"/>
  <c r="R212" i="12"/>
  <c r="R211" i="12"/>
  <c r="R210" i="12"/>
  <c r="R209" i="12"/>
  <c r="R208" i="12"/>
  <c r="R207" i="12"/>
  <c r="R206" i="12"/>
  <c r="R205" i="12"/>
  <c r="R204" i="12"/>
  <c r="R203" i="12"/>
  <c r="Q203" i="12" s="1"/>
  <c r="R202" i="12"/>
  <c r="R201" i="12"/>
  <c r="R200" i="12"/>
  <c r="T201" i="12" s="1"/>
  <c r="R199" i="12"/>
  <c r="R198" i="12"/>
  <c r="P197" i="12"/>
  <c r="O197" i="12"/>
  <c r="N197" i="12"/>
  <c r="R196" i="12"/>
  <c r="T197" i="12" s="1"/>
  <c r="J195" i="12"/>
  <c r="I195" i="12"/>
  <c r="H195" i="12"/>
  <c r="G195" i="12"/>
  <c r="F195" i="12"/>
  <c r="E195" i="12"/>
  <c r="R194" i="12"/>
  <c r="R193" i="12"/>
  <c r="R192" i="12"/>
  <c r="T193" i="12" s="1"/>
  <c r="J191" i="12"/>
  <c r="I191" i="12"/>
  <c r="H191" i="12"/>
  <c r="G191" i="12"/>
  <c r="F191" i="12"/>
  <c r="E191" i="12"/>
  <c r="R190" i="12"/>
  <c r="R189" i="12"/>
  <c r="R188" i="12"/>
  <c r="R187" i="12"/>
  <c r="Q187" i="12" s="1"/>
  <c r="R186" i="12"/>
  <c r="P185" i="12"/>
  <c r="O185" i="12"/>
  <c r="N185" i="12"/>
  <c r="M185" i="12"/>
  <c r="L185" i="12"/>
  <c r="K185" i="12"/>
  <c r="J185" i="12"/>
  <c r="I185" i="12"/>
  <c r="H185" i="12"/>
  <c r="G185" i="12"/>
  <c r="F185" i="12"/>
  <c r="E185" i="12"/>
  <c r="R184" i="12"/>
  <c r="R183" i="12"/>
  <c r="Q183" i="12"/>
  <c r="R182" i="12"/>
  <c r="P181" i="12"/>
  <c r="O181" i="12"/>
  <c r="N181" i="12"/>
  <c r="M181" i="12"/>
  <c r="M217" i="12" s="1"/>
  <c r="L181" i="12"/>
  <c r="L217" i="12" s="1"/>
  <c r="K181" i="12"/>
  <c r="K217" i="12" s="1"/>
  <c r="J181" i="12"/>
  <c r="J217" i="12" s="1"/>
  <c r="I181" i="12"/>
  <c r="I217" i="12" s="1"/>
  <c r="H181" i="12"/>
  <c r="H217" i="12" s="1"/>
  <c r="G181" i="12"/>
  <c r="G217" i="12" s="1"/>
  <c r="F181" i="12"/>
  <c r="F217" i="12" s="1"/>
  <c r="E181" i="12"/>
  <c r="E217" i="12" s="1"/>
  <c r="R180" i="12"/>
  <c r="R179" i="12"/>
  <c r="Q179" i="12"/>
  <c r="R178" i="12"/>
  <c r="R177" i="12"/>
  <c r="Q177" i="12" s="1"/>
  <c r="R176" i="12"/>
  <c r="R175" i="12"/>
  <c r="R174" i="12"/>
  <c r="R173" i="12"/>
  <c r="Q173" i="12" s="1"/>
  <c r="R172" i="12"/>
  <c r="R171" i="12"/>
  <c r="R170" i="12"/>
  <c r="T169" i="12" s="1"/>
  <c r="R169" i="12"/>
  <c r="Q169" i="12"/>
  <c r="R168" i="12"/>
  <c r="R167" i="12"/>
  <c r="S169" i="12" s="1"/>
  <c r="R166" i="12"/>
  <c r="R165" i="12"/>
  <c r="Q165" i="12" s="1"/>
  <c r="R164" i="12"/>
  <c r="R163" i="12"/>
  <c r="R162" i="12"/>
  <c r="R161" i="12"/>
  <c r="Q161" i="12"/>
  <c r="R160" i="12"/>
  <c r="R159" i="12"/>
  <c r="R158" i="12"/>
  <c r="R157" i="12"/>
  <c r="S157" i="12" s="1"/>
  <c r="Q157" i="12"/>
  <c r="R156" i="12"/>
  <c r="Q155" i="12"/>
  <c r="R154" i="12"/>
  <c r="R153" i="12"/>
  <c r="R152" i="12"/>
  <c r="T153" i="12" s="1"/>
  <c r="R151" i="12"/>
  <c r="Q151" i="12" s="1"/>
  <c r="F62" i="12"/>
  <c r="G62" i="12"/>
  <c r="P62" i="12"/>
  <c r="E62" i="12"/>
  <c r="E61" i="12"/>
  <c r="F61" i="12"/>
  <c r="G61" i="12"/>
  <c r="H61" i="12"/>
  <c r="I61" i="12"/>
  <c r="J61" i="12"/>
  <c r="K61" i="12"/>
  <c r="M61" i="12"/>
  <c r="N61" i="12"/>
  <c r="O61" i="12"/>
  <c r="P61" i="12"/>
  <c r="F60" i="12"/>
  <c r="G60" i="12"/>
  <c r="H60" i="12"/>
  <c r="I60" i="12"/>
  <c r="J60" i="12"/>
  <c r="E60" i="12"/>
  <c r="P59" i="12"/>
  <c r="G59" i="12"/>
  <c r="H59" i="12"/>
  <c r="I59" i="12"/>
  <c r="J59" i="12"/>
  <c r="K59" i="12"/>
  <c r="M59" i="12"/>
  <c r="N59" i="12"/>
  <c r="O59" i="12"/>
  <c r="F59" i="12"/>
  <c r="E59" i="12"/>
  <c r="D62" i="12"/>
  <c r="D61" i="12"/>
  <c r="R58" i="12"/>
  <c r="D58" i="12"/>
  <c r="R57" i="12"/>
  <c r="D57" i="12"/>
  <c r="R56" i="12"/>
  <c r="T57" i="12" s="1"/>
  <c r="R55" i="12"/>
  <c r="R54" i="12"/>
  <c r="D54" i="12"/>
  <c r="R53" i="12"/>
  <c r="D53" i="12"/>
  <c r="R52" i="12"/>
  <c r="T53" i="12" s="1"/>
  <c r="R51" i="12"/>
  <c r="R50" i="12"/>
  <c r="D50" i="12"/>
  <c r="R49" i="12"/>
  <c r="D49" i="12"/>
  <c r="R48" i="12"/>
  <c r="T49" i="12" s="1"/>
  <c r="R47" i="12"/>
  <c r="R46" i="12"/>
  <c r="D46" i="12"/>
  <c r="R45" i="12"/>
  <c r="D45" i="12"/>
  <c r="R44" i="12"/>
  <c r="T45" i="12" s="1"/>
  <c r="R43" i="12"/>
  <c r="O42" i="12"/>
  <c r="N42" i="12"/>
  <c r="M42" i="12"/>
  <c r="L42" i="12"/>
  <c r="K42" i="12"/>
  <c r="J42" i="12"/>
  <c r="I42" i="12"/>
  <c r="H42" i="12"/>
  <c r="D42" i="12"/>
  <c r="R41" i="12"/>
  <c r="D41" i="12"/>
  <c r="P40" i="12"/>
  <c r="O40" i="12"/>
  <c r="N40" i="12"/>
  <c r="R39" i="12"/>
  <c r="R38" i="12"/>
  <c r="D38" i="12"/>
  <c r="R37" i="12"/>
  <c r="D37" i="12"/>
  <c r="R36" i="12"/>
  <c r="T37" i="12" s="1"/>
  <c r="R35" i="12"/>
  <c r="R34" i="12"/>
  <c r="D34" i="12"/>
  <c r="R33" i="12"/>
  <c r="D33" i="12"/>
  <c r="R32" i="12"/>
  <c r="T33" i="12" s="1"/>
  <c r="R31" i="12"/>
  <c r="R30" i="12"/>
  <c r="D30" i="12"/>
  <c r="R29" i="12"/>
  <c r="D29" i="12"/>
  <c r="R28" i="12"/>
  <c r="T29" i="12" s="1"/>
  <c r="R27" i="12"/>
  <c r="R26" i="12"/>
  <c r="D26" i="12"/>
  <c r="R25" i="12"/>
  <c r="D25" i="12"/>
  <c r="R24" i="12"/>
  <c r="T25" i="12" s="1"/>
  <c r="R23" i="12"/>
  <c r="O22" i="12"/>
  <c r="N22" i="12"/>
  <c r="M22" i="12"/>
  <c r="L22" i="12"/>
  <c r="K22" i="12"/>
  <c r="J22" i="12"/>
  <c r="I22" i="12"/>
  <c r="H22" i="12"/>
  <c r="D22" i="12"/>
  <c r="R21" i="12"/>
  <c r="D21" i="12"/>
  <c r="P20" i="12"/>
  <c r="O20" i="12"/>
  <c r="N20" i="12"/>
  <c r="R19" i="12"/>
  <c r="O18" i="12"/>
  <c r="N18" i="12"/>
  <c r="M18" i="12"/>
  <c r="L18" i="12"/>
  <c r="K18" i="12"/>
  <c r="J18" i="12"/>
  <c r="I18" i="12"/>
  <c r="H18" i="12"/>
  <c r="D18" i="12"/>
  <c r="R17" i="12"/>
  <c r="S17" i="12" s="1"/>
  <c r="D17" i="12"/>
  <c r="P16" i="12"/>
  <c r="O16" i="12"/>
  <c r="N16" i="12"/>
  <c r="M16" i="12"/>
  <c r="M60" i="12" s="1"/>
  <c r="L16" i="12"/>
  <c r="L60" i="12" s="1"/>
  <c r="K16" i="12"/>
  <c r="S205" i="12" l="1"/>
  <c r="S189" i="12"/>
  <c r="T185" i="12"/>
  <c r="O217" i="12"/>
  <c r="R185" i="12"/>
  <c r="E215" i="12"/>
  <c r="G215" i="12"/>
  <c r="I215" i="12"/>
  <c r="S257" i="12"/>
  <c r="R16" i="12"/>
  <c r="O60" i="12"/>
  <c r="I62" i="12"/>
  <c r="K62" i="12"/>
  <c r="M62" i="12"/>
  <c r="O62" i="12"/>
  <c r="R20" i="12"/>
  <c r="P60" i="12"/>
  <c r="S21" i="12"/>
  <c r="S49" i="12"/>
  <c r="Q49" i="12" s="1"/>
  <c r="S213" i="12"/>
  <c r="R59" i="12"/>
  <c r="N217" i="12"/>
  <c r="P217" i="12"/>
  <c r="F215" i="12"/>
  <c r="H215" i="12"/>
  <c r="J215" i="12"/>
  <c r="R195" i="12"/>
  <c r="Q195" i="12" s="1"/>
  <c r="R197" i="12"/>
  <c r="T209" i="12"/>
  <c r="R216" i="12"/>
  <c r="R218" i="12"/>
  <c r="T241" i="12"/>
  <c r="R61" i="12"/>
  <c r="S61" i="12" s="1"/>
  <c r="H62" i="12"/>
  <c r="J62" i="12"/>
  <c r="L62" i="12"/>
  <c r="N62" i="12"/>
  <c r="R42" i="12"/>
  <c r="S53" i="12"/>
  <c r="Q53" i="12" s="1"/>
  <c r="S57" i="12"/>
  <c r="Q57" i="12" s="1"/>
  <c r="T157" i="12"/>
  <c r="S161" i="12"/>
  <c r="T161" i="12"/>
  <c r="S177" i="12"/>
  <c r="T177" i="12"/>
  <c r="S209" i="12"/>
  <c r="T233" i="12"/>
  <c r="S237" i="12"/>
  <c r="S241" i="12"/>
  <c r="T257" i="12"/>
  <c r="S269" i="12"/>
  <c r="S273" i="12"/>
  <c r="S153" i="12"/>
  <c r="S165" i="12"/>
  <c r="T165" i="12"/>
  <c r="S173" i="12"/>
  <c r="T173" i="12"/>
  <c r="T189" i="12"/>
  <c r="S201" i="12"/>
  <c r="T205" i="12"/>
  <c r="T213" i="12"/>
  <c r="T237" i="12"/>
  <c r="T253" i="12"/>
  <c r="T269" i="12"/>
  <c r="N60" i="12"/>
  <c r="R18" i="12"/>
  <c r="T17" i="12" s="1"/>
  <c r="R22" i="12"/>
  <c r="T21" i="12" s="1"/>
  <c r="S25" i="12"/>
  <c r="S33" i="12"/>
  <c r="S37" i="12"/>
  <c r="S45" i="12"/>
  <c r="Q45" i="12" s="1"/>
  <c r="K60" i="12"/>
  <c r="R62" i="12"/>
  <c r="T181" i="12"/>
  <c r="S185" i="12"/>
  <c r="S245" i="12"/>
  <c r="S249" i="12"/>
  <c r="S261" i="12"/>
  <c r="S265" i="12"/>
  <c r="R276" i="12"/>
  <c r="T277" i="12" s="1"/>
  <c r="T273" i="12"/>
  <c r="S277" i="12"/>
  <c r="S29" i="12"/>
  <c r="U253" i="12"/>
  <c r="U269" i="12"/>
  <c r="U233" i="12"/>
  <c r="U237" i="12"/>
  <c r="U241" i="12"/>
  <c r="U245" i="12"/>
  <c r="U249" i="12"/>
  <c r="U257" i="12"/>
  <c r="U261" i="12"/>
  <c r="U265" i="12"/>
  <c r="U277" i="12"/>
  <c r="U273" i="12"/>
  <c r="R191" i="12"/>
  <c r="Q191" i="12" s="1"/>
  <c r="Q153" i="12"/>
  <c r="Q163" i="12"/>
  <c r="Q167" i="12"/>
  <c r="Q171" i="12"/>
  <c r="Q175" i="12"/>
  <c r="R181" i="12"/>
  <c r="R40" i="12"/>
  <c r="S41" i="12"/>
  <c r="Q41" i="12" s="1"/>
  <c r="T217" i="12" l="1"/>
  <c r="R217" i="12"/>
  <c r="S197" i="12"/>
  <c r="R215" i="12"/>
  <c r="S217" i="12" s="1"/>
  <c r="S193" i="12"/>
  <c r="R60" i="12"/>
  <c r="T61" i="12" s="1"/>
  <c r="S181" i="12"/>
  <c r="Q181" i="12"/>
  <c r="T41" i="12"/>
  <c r="P369" i="12" l="1"/>
  <c r="O369" i="12"/>
  <c r="N369" i="12"/>
  <c r="M369" i="12"/>
  <c r="L369" i="12"/>
  <c r="K369" i="12"/>
  <c r="J369" i="12"/>
  <c r="I369" i="12"/>
  <c r="H369" i="12"/>
  <c r="G369" i="12"/>
  <c r="F369" i="12"/>
  <c r="E369" i="12"/>
  <c r="R369" i="12" s="1"/>
  <c r="P368" i="12"/>
  <c r="O368" i="12"/>
  <c r="N368" i="12"/>
  <c r="M368" i="12"/>
  <c r="L368" i="12"/>
  <c r="K368" i="12"/>
  <c r="J368" i="12"/>
  <c r="I368" i="12"/>
  <c r="H368" i="12"/>
  <c r="G368" i="12"/>
  <c r="F368" i="12"/>
  <c r="E368" i="12"/>
  <c r="R368" i="12" s="1"/>
  <c r="P367" i="12"/>
  <c r="O367" i="12"/>
  <c r="N367" i="12"/>
  <c r="M367" i="12"/>
  <c r="L367" i="12"/>
  <c r="K367" i="12"/>
  <c r="J367" i="12"/>
  <c r="I367" i="12"/>
  <c r="H367" i="12"/>
  <c r="G367" i="12"/>
  <c r="F367" i="12"/>
  <c r="E367" i="12"/>
  <c r="R367" i="12" s="1"/>
  <c r="P366" i="12"/>
  <c r="O366" i="12"/>
  <c r="N366" i="12"/>
  <c r="M366" i="12"/>
  <c r="L366" i="12"/>
  <c r="K366" i="12"/>
  <c r="J366" i="12"/>
  <c r="I366" i="12"/>
  <c r="H366" i="12"/>
  <c r="G366" i="12"/>
  <c r="F366" i="12"/>
  <c r="E366" i="12"/>
  <c r="R365" i="12"/>
  <c r="R364" i="12"/>
  <c r="R363" i="12"/>
  <c r="T364" i="12" s="1"/>
  <c r="R362" i="12"/>
  <c r="Q362" i="12" s="1"/>
  <c r="R361" i="12"/>
  <c r="R360" i="12"/>
  <c r="R359" i="12"/>
  <c r="T360" i="12" s="1"/>
  <c r="R358" i="12"/>
  <c r="R357" i="12"/>
  <c r="R356" i="12"/>
  <c r="R355" i="12"/>
  <c r="R354" i="12"/>
  <c r="R353" i="12"/>
  <c r="R352" i="12"/>
  <c r="Q352" i="12" s="1"/>
  <c r="R351" i="12"/>
  <c r="R350" i="12"/>
  <c r="Q350" i="12" s="1"/>
  <c r="P338" i="12"/>
  <c r="O338" i="12"/>
  <c r="N338" i="12"/>
  <c r="M338" i="12"/>
  <c r="L338" i="12"/>
  <c r="K338" i="12"/>
  <c r="J338" i="12"/>
  <c r="I338" i="12"/>
  <c r="H338" i="12"/>
  <c r="G338" i="12"/>
  <c r="F338" i="12"/>
  <c r="E338" i="12"/>
  <c r="Q337" i="12"/>
  <c r="P337" i="12"/>
  <c r="O337" i="12"/>
  <c r="N337" i="12"/>
  <c r="M337" i="12"/>
  <c r="L337" i="12"/>
  <c r="K337" i="12"/>
  <c r="J337" i="12"/>
  <c r="I337" i="12"/>
  <c r="H337" i="12"/>
  <c r="G337" i="12"/>
  <c r="F337" i="12"/>
  <c r="E337" i="12"/>
  <c r="P336" i="12"/>
  <c r="O336" i="12"/>
  <c r="N336" i="12"/>
  <c r="M336" i="12"/>
  <c r="L336" i="12"/>
  <c r="K336" i="12"/>
  <c r="J336" i="12"/>
  <c r="I336" i="12"/>
  <c r="H336" i="12"/>
  <c r="G336" i="12"/>
  <c r="F336" i="12"/>
  <c r="E336" i="12"/>
  <c r="P335" i="12"/>
  <c r="O335" i="12"/>
  <c r="N335" i="12"/>
  <c r="M335" i="12"/>
  <c r="L335" i="12"/>
  <c r="K335" i="12"/>
  <c r="J335" i="12"/>
  <c r="I335" i="12"/>
  <c r="H335" i="12"/>
  <c r="G335" i="12"/>
  <c r="F335" i="12"/>
  <c r="E335" i="12"/>
  <c r="R334" i="12"/>
  <c r="R333" i="12"/>
  <c r="R332" i="12"/>
  <c r="R331" i="12"/>
  <c r="R330" i="12"/>
  <c r="R328" i="12"/>
  <c r="R327" i="12"/>
  <c r="S329" i="12" s="1"/>
  <c r="R326" i="12"/>
  <c r="R325" i="12"/>
  <c r="R324" i="12"/>
  <c r="R323" i="12"/>
  <c r="R322" i="12"/>
  <c r="R321" i="12"/>
  <c r="R320" i="12"/>
  <c r="R319" i="12"/>
  <c r="R318" i="12"/>
  <c r="R317" i="12"/>
  <c r="R316" i="12"/>
  <c r="R315" i="12"/>
  <c r="R314" i="12"/>
  <c r="R313" i="12"/>
  <c r="R312" i="12"/>
  <c r="R311" i="12"/>
  <c r="R310" i="12"/>
  <c r="R309" i="12"/>
  <c r="R308" i="12"/>
  <c r="R307" i="12"/>
  <c r="R306" i="12"/>
  <c r="R305" i="12"/>
  <c r="R304" i="12"/>
  <c r="R303" i="12"/>
  <c r="R302" i="12"/>
  <c r="R301" i="12"/>
  <c r="R300" i="12"/>
  <c r="R299" i="12"/>
  <c r="R298" i="12"/>
  <c r="R297" i="12"/>
  <c r="R296" i="12"/>
  <c r="R295" i="12"/>
  <c r="R294" i="12"/>
  <c r="R293" i="12"/>
  <c r="R292" i="12"/>
  <c r="R291" i="12"/>
  <c r="P140" i="12"/>
  <c r="P373" i="12" s="1"/>
  <c r="O140" i="12"/>
  <c r="N140" i="12"/>
  <c r="M140" i="12"/>
  <c r="L140" i="12"/>
  <c r="L373" i="12" s="1"/>
  <c r="K140" i="12"/>
  <c r="J140" i="12"/>
  <c r="I140" i="12"/>
  <c r="H140" i="12"/>
  <c r="H373" i="12" s="1"/>
  <c r="G140" i="12"/>
  <c r="F140" i="12"/>
  <c r="F373" i="12" s="1"/>
  <c r="E140" i="12"/>
  <c r="P139" i="12"/>
  <c r="O139" i="12"/>
  <c r="N139" i="12"/>
  <c r="M139" i="12"/>
  <c r="L139" i="12"/>
  <c r="K139" i="12"/>
  <c r="J139" i="12"/>
  <c r="I139" i="12"/>
  <c r="H139" i="12"/>
  <c r="G139" i="12"/>
  <c r="F139" i="12"/>
  <c r="E139" i="12"/>
  <c r="U138" i="12"/>
  <c r="P138" i="12"/>
  <c r="O138" i="12"/>
  <c r="N138" i="12"/>
  <c r="M138" i="12"/>
  <c r="L138" i="12"/>
  <c r="K138" i="12"/>
  <c r="J138" i="12"/>
  <c r="I138" i="12"/>
  <c r="H138" i="12"/>
  <c r="G138" i="12"/>
  <c r="F138" i="12"/>
  <c r="E138" i="12"/>
  <c r="O137" i="12"/>
  <c r="N137" i="12"/>
  <c r="M137" i="12"/>
  <c r="L137" i="12"/>
  <c r="K137" i="12"/>
  <c r="J137" i="12"/>
  <c r="I137" i="12"/>
  <c r="H137" i="12"/>
  <c r="G137" i="12"/>
  <c r="F137" i="12"/>
  <c r="R136" i="12"/>
  <c r="R135" i="12"/>
  <c r="R134" i="12"/>
  <c r="W133" i="12" s="1"/>
  <c r="R133" i="12"/>
  <c r="S135" i="12" s="1"/>
  <c r="R132" i="12"/>
  <c r="R131" i="12"/>
  <c r="D131" i="12"/>
  <c r="R130" i="12"/>
  <c r="R129" i="12"/>
  <c r="R128" i="12"/>
  <c r="R127" i="12"/>
  <c r="D127" i="12"/>
  <c r="R126" i="12"/>
  <c r="R125" i="12"/>
  <c r="R124" i="12"/>
  <c r="R123" i="12"/>
  <c r="D123" i="12"/>
  <c r="R122" i="12"/>
  <c r="R121" i="12"/>
  <c r="R120" i="12"/>
  <c r="R119" i="12"/>
  <c r="D119" i="12"/>
  <c r="R118" i="12"/>
  <c r="R117" i="12"/>
  <c r="R116" i="12"/>
  <c r="R115" i="12"/>
  <c r="R114" i="12"/>
  <c r="W113" i="12" s="1"/>
  <c r="R113" i="12"/>
  <c r="R112" i="12"/>
  <c r="D112" i="12"/>
  <c r="R111" i="12"/>
  <c r="D111" i="12"/>
  <c r="R110" i="12"/>
  <c r="W109" i="12" s="1"/>
  <c r="R109" i="12"/>
  <c r="R108" i="12"/>
  <c r="D108" i="12"/>
  <c r="R107" i="12"/>
  <c r="D107" i="12"/>
  <c r="R106" i="12"/>
  <c r="W105" i="12" s="1"/>
  <c r="R105" i="12"/>
  <c r="R104" i="12"/>
  <c r="D104" i="12"/>
  <c r="R103" i="12"/>
  <c r="D103" i="12"/>
  <c r="R102" i="12"/>
  <c r="W102" i="12" s="1"/>
  <c r="R101" i="12"/>
  <c r="R100" i="12"/>
  <c r="R99" i="12"/>
  <c r="R98" i="12"/>
  <c r="W97" i="12" s="1"/>
  <c r="R97" i="12"/>
  <c r="R96" i="12"/>
  <c r="R95" i="12"/>
  <c r="D95" i="12"/>
  <c r="R94" i="12"/>
  <c r="W93" i="12" s="1"/>
  <c r="R93" i="12"/>
  <c r="R92" i="12"/>
  <c r="R91" i="12"/>
  <c r="D91" i="12"/>
  <c r="R90" i="12"/>
  <c r="W89" i="12" s="1"/>
  <c r="R89" i="12"/>
  <c r="R88" i="12"/>
  <c r="R87" i="12"/>
  <c r="D87" i="12"/>
  <c r="R86" i="12"/>
  <c r="W85" i="12" s="1"/>
  <c r="R85" i="12"/>
  <c r="R84" i="12"/>
  <c r="D84" i="12"/>
  <c r="R83" i="12"/>
  <c r="D83" i="12"/>
  <c r="R82" i="12"/>
  <c r="W81" i="12" s="1"/>
  <c r="R81" i="12"/>
  <c r="R80" i="12"/>
  <c r="D80" i="12"/>
  <c r="R79" i="12"/>
  <c r="D79" i="12"/>
  <c r="R78" i="12"/>
  <c r="T79" i="12" s="1"/>
  <c r="R77" i="12"/>
  <c r="R76" i="12"/>
  <c r="D76" i="12"/>
  <c r="R75" i="12"/>
  <c r="D75" i="12"/>
  <c r="R74" i="12"/>
  <c r="W74" i="12" s="1"/>
  <c r="R73" i="12"/>
  <c r="J372" i="12"/>
  <c r="S313" i="12" l="1"/>
  <c r="R137" i="12"/>
  <c r="S79" i="12"/>
  <c r="S87" i="12"/>
  <c r="S95" i="12"/>
  <c r="F372" i="12"/>
  <c r="P372" i="12"/>
  <c r="S107" i="12"/>
  <c r="S297" i="12"/>
  <c r="S321" i="12"/>
  <c r="G373" i="12"/>
  <c r="I373" i="12"/>
  <c r="S91" i="12"/>
  <c r="S111" i="12"/>
  <c r="S115" i="12"/>
  <c r="H372" i="12"/>
  <c r="N372" i="12"/>
  <c r="S305" i="12"/>
  <c r="S333" i="12"/>
  <c r="T99" i="12"/>
  <c r="T293" i="12"/>
  <c r="S301" i="12"/>
  <c r="T309" i="12"/>
  <c r="S317" i="12"/>
  <c r="T325" i="12"/>
  <c r="S356" i="12"/>
  <c r="T75" i="12"/>
  <c r="S99" i="12"/>
  <c r="T115" i="12"/>
  <c r="T135" i="12"/>
  <c r="F371" i="12"/>
  <c r="H371" i="12"/>
  <c r="J371" i="12"/>
  <c r="N371" i="12"/>
  <c r="P371" i="12"/>
  <c r="E372" i="12"/>
  <c r="G372" i="12"/>
  <c r="I372" i="12"/>
  <c r="K372" i="12"/>
  <c r="M372" i="12"/>
  <c r="O372" i="12"/>
  <c r="E373" i="12"/>
  <c r="S293" i="12"/>
  <c r="T301" i="12"/>
  <c r="S309" i="12"/>
  <c r="T317" i="12"/>
  <c r="S325" i="12"/>
  <c r="R336" i="12"/>
  <c r="Y337" i="12" s="1"/>
  <c r="J373" i="12"/>
  <c r="N373" i="12"/>
  <c r="T356" i="12"/>
  <c r="R139" i="12"/>
  <c r="S139" i="12" s="1"/>
  <c r="S75" i="12"/>
  <c r="T87" i="12"/>
  <c r="T95" i="12"/>
  <c r="T103" i="12"/>
  <c r="R366" i="12"/>
  <c r="E370" i="12"/>
  <c r="G370" i="12"/>
  <c r="I370" i="12"/>
  <c r="K370" i="12"/>
  <c r="M370" i="12"/>
  <c r="O370" i="12"/>
  <c r="R140" i="12"/>
  <c r="W77" i="12"/>
  <c r="S83" i="12"/>
  <c r="T91" i="12"/>
  <c r="S103" i="12"/>
  <c r="T107" i="12"/>
  <c r="S119" i="12"/>
  <c r="T119" i="12"/>
  <c r="T123" i="12"/>
  <c r="S123" i="12"/>
  <c r="S127" i="12"/>
  <c r="T127" i="12"/>
  <c r="T131" i="12"/>
  <c r="S131" i="12"/>
  <c r="E371" i="12"/>
  <c r="G371" i="12"/>
  <c r="I371" i="12"/>
  <c r="K371" i="12"/>
  <c r="M371" i="12"/>
  <c r="O371" i="12"/>
  <c r="T333" i="12"/>
  <c r="R337" i="12"/>
  <c r="R338" i="12"/>
  <c r="Q366" i="12"/>
  <c r="T352" i="12"/>
  <c r="F370" i="12"/>
  <c r="H370" i="12"/>
  <c r="J370" i="12"/>
  <c r="L370" i="12"/>
  <c r="N370" i="12"/>
  <c r="P370" i="12"/>
  <c r="M373" i="12"/>
  <c r="O373" i="12"/>
  <c r="K373" i="12"/>
  <c r="W138" i="12"/>
  <c r="T337" i="12"/>
  <c r="T368" i="12"/>
  <c r="T83" i="12"/>
  <c r="T111" i="12"/>
  <c r="R138" i="12"/>
  <c r="T139" i="12" s="1"/>
  <c r="S352" i="12"/>
  <c r="S368" i="12"/>
  <c r="T297" i="12"/>
  <c r="T305" i="12"/>
  <c r="T313" i="12"/>
  <c r="T321" i="12"/>
  <c r="T329" i="12"/>
  <c r="R335" i="12"/>
  <c r="S337" i="12" s="1"/>
  <c r="S360" i="12"/>
  <c r="Q360" i="12"/>
  <c r="S364" i="12"/>
  <c r="Q364" i="12"/>
  <c r="R373" i="12" l="1"/>
  <c r="R372" i="12"/>
  <c r="Q368" i="12"/>
  <c r="R370" i="12"/>
  <c r="R371" i="12"/>
  <c r="T372" i="12" s="1"/>
  <c r="S372" i="12" l="1"/>
  <c r="J27" i="8"/>
  <c r="I62" i="10"/>
  <c r="G74" i="10"/>
  <c r="F74" i="10"/>
  <c r="E74" i="10"/>
  <c r="G73" i="10"/>
  <c r="F73" i="10"/>
  <c r="E73" i="10"/>
  <c r="G72" i="10"/>
  <c r="F72" i="10"/>
  <c r="E72" i="10"/>
  <c r="G71" i="10"/>
  <c r="F71" i="10"/>
  <c r="E71" i="10"/>
  <c r="I70" i="10"/>
  <c r="I69" i="10"/>
  <c r="I68" i="10"/>
  <c r="I67" i="10"/>
  <c r="I66" i="10"/>
  <c r="I65" i="10"/>
  <c r="D65" i="10"/>
  <c r="I64" i="10"/>
  <c r="I63" i="10"/>
  <c r="J65" i="10" s="1"/>
  <c r="I61" i="10"/>
  <c r="D61" i="10"/>
  <c r="I60" i="10"/>
  <c r="I59" i="10"/>
  <c r="I58" i="10"/>
  <c r="I57" i="10"/>
  <c r="D57" i="10"/>
  <c r="I56" i="10"/>
  <c r="I55" i="10"/>
  <c r="I54" i="10"/>
  <c r="I53" i="10"/>
  <c r="D53" i="10"/>
  <c r="I52" i="10"/>
  <c r="I51" i="10"/>
  <c r="I50" i="10"/>
  <c r="I49" i="10"/>
  <c r="I48" i="10"/>
  <c r="I47" i="10"/>
  <c r="I46" i="10"/>
  <c r="D46" i="10"/>
  <c r="I45" i="10"/>
  <c r="D45" i="10"/>
  <c r="I44" i="10"/>
  <c r="I43" i="10"/>
  <c r="I42" i="10"/>
  <c r="D42" i="10"/>
  <c r="I41" i="10"/>
  <c r="D41" i="10"/>
  <c r="I40" i="10"/>
  <c r="I39" i="10"/>
  <c r="I38" i="10"/>
  <c r="D38" i="10"/>
  <c r="I37" i="10"/>
  <c r="D37" i="10"/>
  <c r="I36" i="10"/>
  <c r="I35" i="10"/>
  <c r="I34" i="10"/>
  <c r="I33" i="10"/>
  <c r="I32" i="10"/>
  <c r="I31" i="10"/>
  <c r="J33" i="10" s="1"/>
  <c r="I30" i="10"/>
  <c r="I29" i="10"/>
  <c r="D29" i="10"/>
  <c r="I28" i="10"/>
  <c r="I27" i="10"/>
  <c r="I26" i="10"/>
  <c r="I25" i="10"/>
  <c r="D25" i="10"/>
  <c r="I24" i="10"/>
  <c r="I23" i="10"/>
  <c r="J25" i="10" s="1"/>
  <c r="I22" i="10"/>
  <c r="I21" i="10"/>
  <c r="D21" i="10"/>
  <c r="I20" i="10"/>
  <c r="I19" i="10"/>
  <c r="I18" i="10"/>
  <c r="D18" i="10"/>
  <c r="I17" i="10"/>
  <c r="D17" i="10"/>
  <c r="I16" i="10"/>
  <c r="I15" i="10"/>
  <c r="I14" i="10"/>
  <c r="D14" i="10"/>
  <c r="I13" i="10"/>
  <c r="D13" i="10"/>
  <c r="I12" i="10"/>
  <c r="I11" i="10"/>
  <c r="I10" i="10"/>
  <c r="D10" i="10"/>
  <c r="I9" i="10"/>
  <c r="D9" i="10"/>
  <c r="I8" i="10"/>
  <c r="K9" i="10" s="1"/>
  <c r="I7" i="10"/>
  <c r="J17" i="10"/>
  <c r="R8" i="9"/>
  <c r="R7" i="9"/>
  <c r="R6" i="9"/>
  <c r="R5" i="9"/>
  <c r="M20" i="8"/>
  <c r="M23" i="8" s="1"/>
  <c r="L20" i="8"/>
  <c r="L23" i="8" s="1"/>
  <c r="K20" i="8"/>
  <c r="K23" i="8" s="1"/>
  <c r="J20" i="8"/>
  <c r="J25" i="8" s="1"/>
  <c r="J23" i="8"/>
  <c r="I20" i="8"/>
  <c r="I23" i="8" s="1"/>
  <c r="H20" i="8"/>
  <c r="H23" i="8" s="1"/>
  <c r="G20" i="8"/>
  <c r="G25" i="8" s="1"/>
  <c r="F20" i="8"/>
  <c r="F23" i="8" s="1"/>
  <c r="E20" i="8"/>
  <c r="E23" i="8" s="1"/>
  <c r="R17" i="5"/>
  <c r="N17" i="5"/>
  <c r="J17" i="5"/>
  <c r="F17" i="5"/>
  <c r="S17" i="5" s="1"/>
  <c r="R11" i="5"/>
  <c r="N11" i="5"/>
  <c r="J11" i="5"/>
  <c r="F11" i="5"/>
  <c r="S11" i="5" s="1"/>
  <c r="R8" i="5"/>
  <c r="N8" i="5"/>
  <c r="J8" i="5"/>
  <c r="F8" i="5"/>
  <c r="S8" i="5" s="1"/>
  <c r="Q19" i="5"/>
  <c r="Q22" i="5" s="1"/>
  <c r="P19" i="5"/>
  <c r="P22" i="5" s="1"/>
  <c r="O19" i="5"/>
  <c r="O22" i="5" s="1"/>
  <c r="M19" i="5"/>
  <c r="M22" i="5" s="1"/>
  <c r="L19" i="5"/>
  <c r="L22" i="5" s="1"/>
  <c r="K19" i="5"/>
  <c r="K22" i="5" s="1"/>
  <c r="I19" i="5"/>
  <c r="I22" i="5" s="1"/>
  <c r="H19" i="5"/>
  <c r="H22" i="5" s="1"/>
  <c r="G19" i="5"/>
  <c r="G22" i="5" s="1"/>
  <c r="E19" i="5"/>
  <c r="E22" i="5"/>
  <c r="D19" i="5"/>
  <c r="D22" i="5" s="1"/>
  <c r="C19" i="5"/>
  <c r="C22" i="5" s="1"/>
  <c r="Q436" i="6"/>
  <c r="P436" i="6"/>
  <c r="O436" i="6"/>
  <c r="N436" i="6"/>
  <c r="M436" i="6"/>
  <c r="L436" i="6"/>
  <c r="K436" i="6"/>
  <c r="J436" i="6"/>
  <c r="I436" i="6"/>
  <c r="H436" i="6"/>
  <c r="G436" i="6"/>
  <c r="F436" i="6"/>
  <c r="R434" i="6"/>
  <c r="R433" i="6"/>
  <c r="R432" i="6"/>
  <c r="R431" i="6"/>
  <c r="R430" i="6"/>
  <c r="R429" i="6"/>
  <c r="R428" i="6"/>
  <c r="R427" i="6"/>
  <c r="R426" i="6"/>
  <c r="R425" i="6"/>
  <c r="R424" i="6"/>
  <c r="R423" i="6"/>
  <c r="R422" i="6"/>
  <c r="R421" i="6"/>
  <c r="R420" i="6"/>
  <c r="R419" i="6"/>
  <c r="R418" i="6"/>
  <c r="R417" i="6"/>
  <c r="R416" i="6"/>
  <c r="R415" i="6"/>
  <c r="R414" i="6"/>
  <c r="R413" i="6"/>
  <c r="R412" i="6"/>
  <c r="R411" i="6"/>
  <c r="R410" i="6"/>
  <c r="R409" i="6"/>
  <c r="R408" i="6"/>
  <c r="R407" i="6"/>
  <c r="R406" i="6"/>
  <c r="R405" i="6"/>
  <c r="R404" i="6"/>
  <c r="R403" i="6"/>
  <c r="R402" i="6"/>
  <c r="R401" i="6"/>
  <c r="R400" i="6"/>
  <c r="R399" i="6"/>
  <c r="R398" i="6"/>
  <c r="R397" i="6"/>
  <c r="R396" i="6"/>
  <c r="R395" i="6"/>
  <c r="R394" i="6"/>
  <c r="R393" i="6"/>
  <c r="R392" i="6"/>
  <c r="R391" i="6"/>
  <c r="R390" i="6"/>
  <c r="R389" i="6"/>
  <c r="R388" i="6"/>
  <c r="R387" i="6"/>
  <c r="R386" i="6"/>
  <c r="R385" i="6"/>
  <c r="R384" i="6"/>
  <c r="R383" i="6"/>
  <c r="R382" i="6"/>
  <c r="R381" i="6"/>
  <c r="R380" i="6"/>
  <c r="R379" i="6"/>
  <c r="R378" i="6"/>
  <c r="R377" i="6"/>
  <c r="R376" i="6"/>
  <c r="R375" i="6"/>
  <c r="R374" i="6"/>
  <c r="R373" i="6"/>
  <c r="R372" i="6"/>
  <c r="R371" i="6"/>
  <c r="R370" i="6"/>
  <c r="R369" i="6"/>
  <c r="R368" i="6"/>
  <c r="R367" i="6"/>
  <c r="R366" i="6"/>
  <c r="R365" i="6"/>
  <c r="R364" i="6"/>
  <c r="R363" i="6"/>
  <c r="R362" i="6"/>
  <c r="R361" i="6"/>
  <c r="R360" i="6"/>
  <c r="R359" i="6"/>
  <c r="R358" i="6"/>
  <c r="R357" i="6"/>
  <c r="R356" i="6"/>
  <c r="R355" i="6"/>
  <c r="R354" i="6"/>
  <c r="R353" i="6"/>
  <c r="R352" i="6"/>
  <c r="R351" i="6"/>
  <c r="R350" i="6"/>
  <c r="R349" i="6"/>
  <c r="R348" i="6"/>
  <c r="R347" i="6"/>
  <c r="R346" i="6"/>
  <c r="R345" i="6"/>
  <c r="R344" i="6"/>
  <c r="R343" i="6"/>
  <c r="R342" i="6"/>
  <c r="R341" i="6"/>
  <c r="R340" i="6"/>
  <c r="R339" i="6"/>
  <c r="R338" i="6"/>
  <c r="R337" i="6"/>
  <c r="R336" i="6"/>
  <c r="R335" i="6"/>
  <c r="R334" i="6"/>
  <c r="R333" i="6"/>
  <c r="R332" i="6"/>
  <c r="R331" i="6"/>
  <c r="R330" i="6"/>
  <c r="R329" i="6"/>
  <c r="R328" i="6"/>
  <c r="R327" i="6"/>
  <c r="R326" i="6"/>
  <c r="R325" i="6"/>
  <c r="R324" i="6"/>
  <c r="R323" i="6"/>
  <c r="R322" i="6"/>
  <c r="R321" i="6"/>
  <c r="R320" i="6"/>
  <c r="R319" i="6"/>
  <c r="R318" i="6"/>
  <c r="R317" i="6"/>
  <c r="R316" i="6"/>
  <c r="R315" i="6"/>
  <c r="R314" i="6"/>
  <c r="R313" i="6"/>
  <c r="R312" i="6"/>
  <c r="R311" i="6"/>
  <c r="R310" i="6"/>
  <c r="R309" i="6"/>
  <c r="R308" i="6"/>
  <c r="R307" i="6"/>
  <c r="R306" i="6"/>
  <c r="R305" i="6"/>
  <c r="R304" i="6"/>
  <c r="R303" i="6"/>
  <c r="R302" i="6"/>
  <c r="R301" i="6"/>
  <c r="R300" i="6"/>
  <c r="R299" i="6"/>
  <c r="R298" i="6"/>
  <c r="R297" i="6"/>
  <c r="R296" i="6"/>
  <c r="R295" i="6"/>
  <c r="R294" i="6"/>
  <c r="R293" i="6"/>
  <c r="R292" i="6"/>
  <c r="R291" i="6"/>
  <c r="R290" i="6"/>
  <c r="R289" i="6"/>
  <c r="R288" i="6"/>
  <c r="R287" i="6"/>
  <c r="R286" i="6"/>
  <c r="R285" i="6"/>
  <c r="R284" i="6"/>
  <c r="R283" i="6"/>
  <c r="R282" i="6"/>
  <c r="R281" i="6"/>
  <c r="R280" i="6"/>
  <c r="R279" i="6"/>
  <c r="R278" i="6"/>
  <c r="R277" i="6"/>
  <c r="R276" i="6"/>
  <c r="R275" i="6"/>
  <c r="R274" i="6"/>
  <c r="R273" i="6"/>
  <c r="R272" i="6"/>
  <c r="R271" i="6"/>
  <c r="R270" i="6"/>
  <c r="R269" i="6"/>
  <c r="R268" i="6"/>
  <c r="R267" i="6"/>
  <c r="R266" i="6"/>
  <c r="R265" i="6"/>
  <c r="R264" i="6"/>
  <c r="R263" i="6"/>
  <c r="R262" i="6"/>
  <c r="R261" i="6"/>
  <c r="R260" i="6"/>
  <c r="R259" i="6"/>
  <c r="R258" i="6"/>
  <c r="R257" i="6"/>
  <c r="R256" i="6"/>
  <c r="R255" i="6"/>
  <c r="R254" i="6"/>
  <c r="R253" i="6"/>
  <c r="R252" i="6"/>
  <c r="R251" i="6"/>
  <c r="R250" i="6"/>
  <c r="R249" i="6"/>
  <c r="R248" i="6"/>
  <c r="R247" i="6"/>
  <c r="R246" i="6"/>
  <c r="R245" i="6"/>
  <c r="R244" i="6"/>
  <c r="R243" i="6"/>
  <c r="R242" i="6"/>
  <c r="R241" i="6"/>
  <c r="R240" i="6"/>
  <c r="R239" i="6"/>
  <c r="R238" i="6"/>
  <c r="R237" i="6"/>
  <c r="R236" i="6"/>
  <c r="R235" i="6"/>
  <c r="R234" i="6"/>
  <c r="R233" i="6"/>
  <c r="R232" i="6"/>
  <c r="R231" i="6"/>
  <c r="R230" i="6"/>
  <c r="R229" i="6"/>
  <c r="R228" i="6"/>
  <c r="R227" i="6"/>
  <c r="R226" i="6"/>
  <c r="R225" i="6"/>
  <c r="R224" i="6"/>
  <c r="R223" i="6"/>
  <c r="R222" i="6"/>
  <c r="R221" i="6"/>
  <c r="R220" i="6"/>
  <c r="R219" i="6"/>
  <c r="R218" i="6"/>
  <c r="R217" i="6"/>
  <c r="R216" i="6"/>
  <c r="R215" i="6"/>
  <c r="R214" i="6"/>
  <c r="R213" i="6"/>
  <c r="R212" i="6"/>
  <c r="R211" i="6"/>
  <c r="R210" i="6"/>
  <c r="R209" i="6"/>
  <c r="R208" i="6"/>
  <c r="R207" i="6"/>
  <c r="R206" i="6"/>
  <c r="R205" i="6"/>
  <c r="R204" i="6"/>
  <c r="R203" i="6"/>
  <c r="R202" i="6"/>
  <c r="R201" i="6"/>
  <c r="R200" i="6"/>
  <c r="R199" i="6"/>
  <c r="R198" i="6"/>
  <c r="R197" i="6"/>
  <c r="R196" i="6"/>
  <c r="R195" i="6"/>
  <c r="R194" i="6"/>
  <c r="R193" i="6"/>
  <c r="R192" i="6"/>
  <c r="R191" i="6"/>
  <c r="R190" i="6"/>
  <c r="R189" i="6"/>
  <c r="R188" i="6"/>
  <c r="R187" i="6"/>
  <c r="R186" i="6"/>
  <c r="R185" i="6"/>
  <c r="R184" i="6"/>
  <c r="R183" i="6"/>
  <c r="R182" i="6"/>
  <c r="R181" i="6"/>
  <c r="R180" i="6"/>
  <c r="R179" i="6"/>
  <c r="R178" i="6"/>
  <c r="R177" i="6"/>
  <c r="R176" i="6"/>
  <c r="R175" i="6"/>
  <c r="R174" i="6"/>
  <c r="R173" i="6"/>
  <c r="R172" i="6"/>
  <c r="R171" i="6"/>
  <c r="R170" i="6"/>
  <c r="R169" i="6"/>
  <c r="R168" i="6"/>
  <c r="R167" i="6"/>
  <c r="R166" i="6"/>
  <c r="R165" i="6"/>
  <c r="R164" i="6"/>
  <c r="R163" i="6"/>
  <c r="R162" i="6"/>
  <c r="R161" i="6"/>
  <c r="R160" i="6"/>
  <c r="R159" i="6"/>
  <c r="R158" i="6"/>
  <c r="R157" i="6"/>
  <c r="R156" i="6"/>
  <c r="R155" i="6"/>
  <c r="R154" i="6"/>
  <c r="R153" i="6"/>
  <c r="R152" i="6"/>
  <c r="R151" i="6"/>
  <c r="R150" i="6"/>
  <c r="R149" i="6"/>
  <c r="R148" i="6"/>
  <c r="R147" i="6"/>
  <c r="R146" i="6"/>
  <c r="R145" i="6"/>
  <c r="R144" i="6"/>
  <c r="R143" i="6"/>
  <c r="R142" i="6"/>
  <c r="R141" i="6"/>
  <c r="R140" i="6"/>
  <c r="R139" i="6"/>
  <c r="R138" i="6"/>
  <c r="R137" i="6"/>
  <c r="R136" i="6"/>
  <c r="R135" i="6"/>
  <c r="R134" i="6"/>
  <c r="R133" i="6"/>
  <c r="R132" i="6"/>
  <c r="R131" i="6"/>
  <c r="R130" i="6"/>
  <c r="R129" i="6"/>
  <c r="R128" i="6"/>
  <c r="R127" i="6"/>
  <c r="R126" i="6"/>
  <c r="R125" i="6"/>
  <c r="R124" i="6"/>
  <c r="R123" i="6"/>
  <c r="R122" i="6"/>
  <c r="R121" i="6"/>
  <c r="R120" i="6"/>
  <c r="R119" i="6"/>
  <c r="R118" i="6"/>
  <c r="R117" i="6"/>
  <c r="R116" i="6"/>
  <c r="R115" i="6"/>
  <c r="R114" i="6"/>
  <c r="R113" i="6"/>
  <c r="R112" i="6"/>
  <c r="R111" i="6"/>
  <c r="R110" i="6"/>
  <c r="R109" i="6"/>
  <c r="R108" i="6"/>
  <c r="R107" i="6"/>
  <c r="R106" i="6"/>
  <c r="R105" i="6"/>
  <c r="R104" i="6"/>
  <c r="R103" i="6"/>
  <c r="R102" i="6"/>
  <c r="R101" i="6"/>
  <c r="R100" i="6"/>
  <c r="R99" i="6"/>
  <c r="R98" i="6"/>
  <c r="R97" i="6"/>
  <c r="R96" i="6"/>
  <c r="R95" i="6"/>
  <c r="R94" i="6"/>
  <c r="R93" i="6"/>
  <c r="R92" i="6"/>
  <c r="R91" i="6"/>
  <c r="R90" i="6"/>
  <c r="R89" i="6"/>
  <c r="R88" i="6"/>
  <c r="R87" i="6"/>
  <c r="R86" i="6"/>
  <c r="R85" i="6"/>
  <c r="R84" i="6"/>
  <c r="R83" i="6"/>
  <c r="R82" i="6"/>
  <c r="R81" i="6"/>
  <c r="R80" i="6"/>
  <c r="R79" i="6"/>
  <c r="R78" i="6"/>
  <c r="R77" i="6"/>
  <c r="R76" i="6"/>
  <c r="R75" i="6"/>
  <c r="R74" i="6"/>
  <c r="R73" i="6"/>
  <c r="R72" i="6"/>
  <c r="R71" i="6"/>
  <c r="R70" i="6"/>
  <c r="R69" i="6"/>
  <c r="R68" i="6"/>
  <c r="R67" i="6"/>
  <c r="R66" i="6"/>
  <c r="R65" i="6"/>
  <c r="R64" i="6"/>
  <c r="R63" i="6"/>
  <c r="R62" i="6"/>
  <c r="R61" i="6"/>
  <c r="R60" i="6"/>
  <c r="R59" i="6"/>
  <c r="R58" i="6"/>
  <c r="R57" i="6"/>
  <c r="R56" i="6"/>
  <c r="R55" i="6"/>
  <c r="R54" i="6"/>
  <c r="R53" i="6"/>
  <c r="R52" i="6"/>
  <c r="R51" i="6"/>
  <c r="R50" i="6"/>
  <c r="R49" i="6"/>
  <c r="R48" i="6"/>
  <c r="R47" i="6"/>
  <c r="R46" i="6"/>
  <c r="R45" i="6"/>
  <c r="R44" i="6"/>
  <c r="R43" i="6"/>
  <c r="R42" i="6"/>
  <c r="R41" i="6"/>
  <c r="R40" i="6"/>
  <c r="R39" i="6"/>
  <c r="R38" i="6"/>
  <c r="R37" i="6"/>
  <c r="R36" i="6"/>
  <c r="R35" i="6"/>
  <c r="R34" i="6"/>
  <c r="R33" i="6"/>
  <c r="R32" i="6"/>
  <c r="R31" i="6"/>
  <c r="R30" i="6"/>
  <c r="R29" i="6"/>
  <c r="R28" i="6"/>
  <c r="R27" i="6"/>
  <c r="R26" i="6"/>
  <c r="R25" i="6"/>
  <c r="R24" i="6"/>
  <c r="R23" i="6"/>
  <c r="R22" i="6"/>
  <c r="R21" i="6"/>
  <c r="R20" i="6"/>
  <c r="R19" i="6"/>
  <c r="R18" i="6"/>
  <c r="R17" i="6"/>
  <c r="R16" i="6"/>
  <c r="R15" i="6"/>
  <c r="R14" i="6"/>
  <c r="R13" i="6"/>
  <c r="R12" i="6"/>
  <c r="R11" i="6"/>
  <c r="R10" i="6"/>
  <c r="R9" i="6"/>
  <c r="P81" i="4"/>
  <c r="O81" i="4"/>
  <c r="N81" i="4"/>
  <c r="M81" i="4"/>
  <c r="L81" i="4"/>
  <c r="K81" i="4"/>
  <c r="J81" i="4"/>
  <c r="I81" i="4"/>
  <c r="H81" i="4"/>
  <c r="G81" i="4"/>
  <c r="F81" i="4"/>
  <c r="E81" i="4"/>
  <c r="P82" i="4"/>
  <c r="O82" i="4"/>
  <c r="N82" i="4"/>
  <c r="M82" i="4"/>
  <c r="L82" i="4"/>
  <c r="K82" i="4"/>
  <c r="J82" i="4"/>
  <c r="I82" i="4"/>
  <c r="H82" i="4"/>
  <c r="G82" i="4"/>
  <c r="F82" i="4"/>
  <c r="E82" i="4"/>
  <c r="S18" i="5"/>
  <c r="S16" i="5"/>
  <c r="S15" i="5"/>
  <c r="S14" i="5"/>
  <c r="S13" i="5"/>
  <c r="S12" i="5"/>
  <c r="S10" i="5"/>
  <c r="S9" i="5"/>
  <c r="S7" i="5"/>
  <c r="S6" i="5"/>
  <c r="S5" i="5"/>
  <c r="S4" i="5"/>
  <c r="S3" i="5"/>
  <c r="D75" i="4"/>
  <c r="D71" i="4"/>
  <c r="R76" i="4"/>
  <c r="R75" i="4"/>
  <c r="R74" i="4"/>
  <c r="R73" i="4"/>
  <c r="R72" i="4"/>
  <c r="R71" i="4"/>
  <c r="R70" i="4"/>
  <c r="R69" i="4"/>
  <c r="R68" i="4"/>
  <c r="R67" i="4"/>
  <c r="R66" i="4"/>
  <c r="T67" i="4" s="1"/>
  <c r="R65" i="4"/>
  <c r="R64" i="4"/>
  <c r="R63" i="4"/>
  <c r="R62" i="4"/>
  <c r="T63" i="4" s="1"/>
  <c r="R61" i="4"/>
  <c r="S63" i="4" s="1"/>
  <c r="R60" i="4"/>
  <c r="D67" i="4"/>
  <c r="D63" i="4"/>
  <c r="D39" i="4"/>
  <c r="D35" i="4"/>
  <c r="D31" i="4"/>
  <c r="P84" i="4"/>
  <c r="O84" i="4"/>
  <c r="N84" i="4"/>
  <c r="M84" i="4"/>
  <c r="L84" i="4"/>
  <c r="K84" i="4"/>
  <c r="J84" i="4"/>
  <c r="I84" i="4"/>
  <c r="H84" i="4"/>
  <c r="G84" i="4"/>
  <c r="F84" i="4"/>
  <c r="E84" i="4"/>
  <c r="P83" i="4"/>
  <c r="O83" i="4"/>
  <c r="N83" i="4"/>
  <c r="M83" i="4"/>
  <c r="L83" i="4"/>
  <c r="K83" i="4"/>
  <c r="J83" i="4"/>
  <c r="I83" i="4"/>
  <c r="H83" i="4"/>
  <c r="G83" i="4"/>
  <c r="F83" i="4"/>
  <c r="E83" i="4"/>
  <c r="U82" i="4"/>
  <c r="R80" i="4"/>
  <c r="R79" i="4"/>
  <c r="R78" i="4"/>
  <c r="W77" i="4" s="1"/>
  <c r="R77" i="4"/>
  <c r="R59" i="4"/>
  <c r="R58" i="4"/>
  <c r="R57" i="4"/>
  <c r="R56" i="4"/>
  <c r="D56" i="4"/>
  <c r="R55" i="4"/>
  <c r="D55" i="4"/>
  <c r="R54" i="4"/>
  <c r="W53" i="4" s="1"/>
  <c r="R53" i="4"/>
  <c r="R52" i="4"/>
  <c r="D52" i="4"/>
  <c r="R51" i="4"/>
  <c r="D51" i="4"/>
  <c r="R50" i="4"/>
  <c r="W49" i="4" s="1"/>
  <c r="R49" i="4"/>
  <c r="R48" i="4"/>
  <c r="D48" i="4"/>
  <c r="R47" i="4"/>
  <c r="D47" i="4"/>
  <c r="R46" i="4"/>
  <c r="W46" i="4" s="1"/>
  <c r="R45" i="4"/>
  <c r="R44" i="4"/>
  <c r="T43" i="4" s="1"/>
  <c r="R43" i="4"/>
  <c r="R42" i="4"/>
  <c r="W41" i="4" s="1"/>
  <c r="R41" i="4"/>
  <c r="S43" i="4" s="1"/>
  <c r="R40" i="4"/>
  <c r="R39" i="4"/>
  <c r="R38" i="4"/>
  <c r="T39" i="4" s="1"/>
  <c r="R37" i="4"/>
  <c r="R36" i="4"/>
  <c r="R35" i="4"/>
  <c r="R34" i="4"/>
  <c r="W33" i="4" s="1"/>
  <c r="R33" i="4"/>
  <c r="S35" i="4" s="1"/>
  <c r="R32" i="4"/>
  <c r="R31" i="4"/>
  <c r="R30" i="4"/>
  <c r="W29" i="4" s="1"/>
  <c r="R29" i="4"/>
  <c r="R28" i="4"/>
  <c r="D28" i="4"/>
  <c r="R27" i="4"/>
  <c r="D27" i="4"/>
  <c r="R26" i="4"/>
  <c r="W25" i="4" s="1"/>
  <c r="R25" i="4"/>
  <c r="R24" i="4"/>
  <c r="D24" i="4"/>
  <c r="R23" i="4"/>
  <c r="D23" i="4"/>
  <c r="R22" i="4"/>
  <c r="T23" i="4" s="1"/>
  <c r="R21" i="4"/>
  <c r="R20" i="4"/>
  <c r="D20" i="4"/>
  <c r="R19" i="4"/>
  <c r="D19" i="4"/>
  <c r="R18" i="4"/>
  <c r="T19" i="4" s="1"/>
  <c r="R17" i="4"/>
  <c r="G28" i="8"/>
  <c r="M25" i="8"/>
  <c r="N25" i="8"/>
  <c r="J21" i="10" l="1"/>
  <c r="K25" i="10"/>
  <c r="J29" i="10"/>
  <c r="J37" i="10"/>
  <c r="J45" i="10"/>
  <c r="S67" i="4"/>
  <c r="K65" i="10"/>
  <c r="S31" i="4"/>
  <c r="R81" i="4"/>
  <c r="S71" i="4"/>
  <c r="S75" i="4"/>
  <c r="S19" i="5"/>
  <c r="S22" i="5" s="1"/>
  <c r="K37" i="10"/>
  <c r="K41" i="10"/>
  <c r="K49" i="10"/>
  <c r="S23" i="4"/>
  <c r="S27" i="4"/>
  <c r="T31" i="4"/>
  <c r="T35" i="4"/>
  <c r="S51" i="4"/>
  <c r="T51" i="4"/>
  <c r="S55" i="4"/>
  <c r="S79" i="4"/>
  <c r="J13" i="10"/>
  <c r="K17" i="10"/>
  <c r="K57" i="10"/>
  <c r="J57" i="10"/>
  <c r="I73" i="10"/>
  <c r="I74" i="10"/>
  <c r="K69" i="10"/>
  <c r="W21" i="4"/>
  <c r="K33" i="10"/>
  <c r="W18" i="4"/>
  <c r="S47" i="4"/>
  <c r="S59" i="4"/>
  <c r="T71" i="4"/>
  <c r="T75" i="4"/>
  <c r="R436" i="6"/>
  <c r="R444" i="6" s="1"/>
  <c r="K21" i="10"/>
  <c r="J61" i="10"/>
  <c r="T27" i="4"/>
  <c r="S39" i="4"/>
  <c r="I72" i="10"/>
  <c r="R84" i="4"/>
  <c r="R82" i="4"/>
  <c r="J41" i="10"/>
  <c r="K45" i="10"/>
  <c r="J53" i="10"/>
  <c r="T79" i="4"/>
  <c r="R83" i="4"/>
  <c r="S83" i="4" s="1"/>
  <c r="T59" i="4"/>
  <c r="I71" i="10"/>
  <c r="K29" i="10"/>
  <c r="J49" i="10"/>
  <c r="K53" i="10"/>
  <c r="K61" i="10"/>
  <c r="W57" i="4"/>
  <c r="W37" i="4"/>
  <c r="G23" i="8"/>
  <c r="S19" i="4"/>
  <c r="T47" i="4"/>
  <c r="T55" i="4"/>
  <c r="K13" i="10"/>
  <c r="J9" i="10"/>
  <c r="J73" i="10" l="1"/>
  <c r="W82" i="4"/>
  <c r="K73" i="10"/>
  <c r="T83" i="4"/>
</calcChain>
</file>

<file path=xl/sharedStrings.xml><?xml version="1.0" encoding="utf-8"?>
<sst xmlns="http://schemas.openxmlformats.org/spreadsheetml/2006/main" count="2239" uniqueCount="473">
  <si>
    <t>Ente Fiscalizable: Comisión de Agua Potable y Alcantarillado del Municipio de Acapulco</t>
  </si>
  <si>
    <t>Administrar con eficiencia y transparencia los recursos financieros, materiales y humanos de la CAPAMA, en coordinacion con las diferentes direcciones, dando cumplimiento a las disposiciones aplicables, para la presentacion de los Estados Financieros.</t>
  </si>
  <si>
    <t>2001 y 2002</t>
  </si>
  <si>
    <t>Estados Financieros</t>
  </si>
  <si>
    <t>Elaboraciòn de Reportes Presupuestales mensuales  para garantizar que el gasto establecido se ajuste al monto y calendario financiero autorizado para el cumplimiento de los programas, objetivos y metas.</t>
  </si>
  <si>
    <t>(Reportes Presupuestales Elaborados / Reportes Presupuestales Programados) * 100</t>
  </si>
  <si>
    <t>Elaboración de Cheques y Transferencias para dar  cumplimiento a los pagos y compromisos adquiridos en tiempo y forma, a travès de las Pòlizas de Egresos realizadas durante el mes.</t>
  </si>
  <si>
    <t>Realizaciòn de recorridos de Lunes a Viernes para garantizar la operatividad de las unidades receptoras (Cajeros automàticos de capama) para la captaciòn de ingresos.</t>
  </si>
  <si>
    <t>(Recorridos a Unidades Receptoras Realizados / Recorridos a Unidades Receptoras Programados) *100</t>
  </si>
  <si>
    <t>Elaboracion de las nóminas quincenales para el pago del personal de CAPAMA de acuerdo al programa anual.</t>
  </si>
  <si>
    <t xml:space="preserve">Otorgamiento de Consultas Mèdicas para coadyuvar con la salud  de los empleados de CAPAMA   de lunes a viernes  para disminuir la morbimortalidad en este organismo. </t>
  </si>
  <si>
    <t>(Consultas Otorgadas Diariamente / Total de Consultas Programadas Diariamente)*100</t>
  </si>
  <si>
    <t>(Reportes Internos Atendidos / Reportes Internos Programados)*100</t>
  </si>
  <si>
    <t>Atenciòn de las requisiciones para la compra  de materiales y suministros recibidas de las diferentes entidades del organismo para el correcto desarrollo de sus actividades.</t>
  </si>
  <si>
    <t>(Número de Requisiciones Atendidas en el mes / Número de Requisiciones Programadas en el mes) * 100</t>
  </si>
  <si>
    <t>(Inventarios Fìsicos Realizados / Inventarios Fìsicos Programados)*100</t>
  </si>
  <si>
    <t>Inventarios</t>
  </si>
  <si>
    <t>Clasificación Funcional</t>
  </si>
  <si>
    <t>Finalidad</t>
  </si>
  <si>
    <t>Desarrollo Social</t>
  </si>
  <si>
    <t>Función</t>
  </si>
  <si>
    <t>Vivienda y Servicios a la Comunidad</t>
  </si>
  <si>
    <t>Subfunción</t>
  </si>
  <si>
    <t>Abastecimiento de Agua Potable</t>
  </si>
  <si>
    <t>Actividad</t>
  </si>
  <si>
    <t>Agua Potable y Alcantarillado</t>
  </si>
  <si>
    <t>Eje1. Municipio con Gobernabilidad y Empoderamiento Ciudadano</t>
  </si>
  <si>
    <t>Reconstruir la confianza de la ciudadanía en su gobierno municipal, a través del cumplimiento efectivo de la ley, del impulso a la participación y la corresponsabilidad de la ciudadanía en todas las acciones de gobierno, a fin de lograr un manejo honesto y eficaz de los recursos, brindando servicios públicos eficientes y promoviendo como principal objetivo la recuperación de la seguridad pública y la reconciliación social.</t>
  </si>
  <si>
    <t>Unidad de Medida</t>
  </si>
  <si>
    <t>Acciones</t>
  </si>
  <si>
    <t>Eficacia</t>
  </si>
  <si>
    <t>Programado</t>
  </si>
  <si>
    <t>Nombre</t>
  </si>
  <si>
    <t>Ene</t>
  </si>
  <si>
    <t>Feb</t>
  </si>
  <si>
    <t>Mar</t>
  </si>
  <si>
    <t>Abr</t>
  </si>
  <si>
    <t>May</t>
  </si>
  <si>
    <t>Jun</t>
  </si>
  <si>
    <t>Jul</t>
  </si>
  <si>
    <t>Ago</t>
  </si>
  <si>
    <t>Sep</t>
  </si>
  <si>
    <t>Nov</t>
  </si>
  <si>
    <t>Dic</t>
  </si>
  <si>
    <t>Total</t>
  </si>
  <si>
    <t>Realizado</t>
  </si>
  <si>
    <t>Concepto</t>
  </si>
  <si>
    <t>Oct</t>
  </si>
  <si>
    <t>unidades receptoras</t>
  </si>
  <si>
    <t xml:space="preserve">Publicaciòn de la información financiera presupuestal de manera trimestral a la ciudadanìa a travès del portal  de la CAPAMA, de acuerdo a lo que señalan las disposiciones aplicables. </t>
  </si>
  <si>
    <t>RH.</t>
  </si>
  <si>
    <t>D.I.</t>
  </si>
  <si>
    <t>D.E.</t>
  </si>
  <si>
    <t>D.CG</t>
  </si>
  <si>
    <t>DCG</t>
  </si>
  <si>
    <t>S.M.</t>
  </si>
  <si>
    <t>D.ADQ</t>
  </si>
  <si>
    <t>D.ALM.</t>
  </si>
  <si>
    <t>Realizaciòn Semestral de los inventarios fisicos de los almacenes de la CAPAMA,  para el control de las entradas y salidas de materiales y equipos.</t>
  </si>
  <si>
    <t>F.T.</t>
  </si>
  <si>
    <t>Elaboración de conciliaciones bancarias de las diferentes cuentas de la CAPAMA.</t>
  </si>
  <si>
    <t>Atenciòn de reportes de reparación y/o mantenimiento preventivo y correctivo de los bienes muebles e inmuebles.</t>
  </si>
  <si>
    <t>Realizaciòn de resguardos a travès de la revisiòn fìsica sobre la adquisiciòn de los bienes muebles e inmuebles adquiridos durante el ejercicio fiscal.</t>
  </si>
  <si>
    <t>SG</t>
  </si>
  <si>
    <t>C.P.</t>
  </si>
  <si>
    <t xml:space="preserve">Publicaciòn y Actualizacion del Padron de Proveedores de Bienes y Servicios,  de forma trimestral a la ciudadanìa a travès del portal  de la CAPAMA, de acuerdo a lo que señalan las disposiciones aplicables. </t>
  </si>
  <si>
    <t>Unidad Responsable del Programa</t>
  </si>
  <si>
    <t>Eje Rector</t>
  </si>
  <si>
    <t xml:space="preserve">Dirección de Finanzas </t>
  </si>
  <si>
    <t>Objetivo General</t>
  </si>
  <si>
    <t>Líneas de Acción</t>
  </si>
  <si>
    <t>3.1.3 Programa de mantenimiento y reparaciòn de instalaciones, equipo, vehìculos y maquinaria de la administraciòn pùblica.
3.1.4 Modernizaciòn de los Sistemas de Comunciaciòn Interna.
3.1.6 Control del Gasto Corriente.
3.1.7 Reducciòn de la Plantilla de Personal.
3.1.9 Atender las requisiciones para la compra de materiales y suministros para el funcionamiento òptimo de las Unidades Administrativas.
4.2.3 Establecer mecanismos para garantizar la Transparencia en los Procesos de Adquisiciones.
4.2.7 Elaboraciòn de Estados Financieros y Reportes Presupuestales de Acuerdo a la Normatividad Aplicable. 
4.2.8 Difundir a travès de los Portales del Gobierno Municipal y de la CAPAMA informaciòn de interès pùblico de acuerdo a las disposiciones legales en la materia. 
4.2.10 Publicar oportunamente la Informaciòn en fracciones requeridas en la Plataforma Nacional de Transparencia.
4.3.3 Implementar acciones para verificar que los Programas y Proyectos se realicen de conformidad con la Normatividad Vigente.
4.3.6 Cumplir al 100% los requerimiento del Sistema de Evaluaciòn de la Armonizaciòn Contable (SEVAC).</t>
  </si>
  <si>
    <t>No.</t>
  </si>
  <si>
    <t>Proyecto y/o Acción</t>
  </si>
  <si>
    <t>Beneficiarios</t>
  </si>
  <si>
    <t>Total Programado</t>
  </si>
  <si>
    <t>Indicadores</t>
  </si>
  <si>
    <t>Economía</t>
  </si>
  <si>
    <t>(Monto Ejercido / Monto Programado) * 100</t>
  </si>
  <si>
    <t>Monto</t>
  </si>
  <si>
    <t>Resguardos</t>
  </si>
  <si>
    <t>(Estados Financieros Realizados / Estados Financieros Programados)*100</t>
  </si>
  <si>
    <t>Reportes</t>
  </si>
  <si>
    <t>Recorridos</t>
  </si>
  <si>
    <t>Nominas</t>
  </si>
  <si>
    <t>Consultas</t>
  </si>
  <si>
    <t>Requisiciones</t>
  </si>
  <si>
    <t xml:space="preserve">Total </t>
  </si>
  <si>
    <t>Actividades</t>
  </si>
  <si>
    <t>(Total actividades realizadas/ Total actividades programadas) * 100</t>
  </si>
  <si>
    <t>(Monto Total Ejercido / Monto Total Programado) * 100</t>
  </si>
  <si>
    <t>Polizas</t>
  </si>
  <si>
    <t>Conciliaciones Bancarias</t>
  </si>
  <si>
    <t>Publicacion</t>
  </si>
  <si>
    <t>Padron de Proveedores</t>
  </si>
  <si>
    <t>(Estados Financieros Presentados/Estados Financieros Programados) * 100</t>
  </si>
  <si>
    <t>(Reportes Diarios Elaborados/Reportes Diarios Programados)*100</t>
  </si>
  <si>
    <t>(Polizas de Egresos Realizadas/Polizas de Egresos Programadas)*100</t>
  </si>
  <si>
    <t>(Conciliaciones Bancariasn Realizadas/Conciliaciones Bancarias Programados) * 100</t>
  </si>
  <si>
    <t>(Informacion Financiera Contable Publicada y Actualizada/Informacion Contable Obligada a Publicar)*100</t>
  </si>
  <si>
    <t>(Informacion Financiera Presupuestal Publicada/Informacion Financiera Presupuestal Obligada a Publicar)*100</t>
  </si>
  <si>
    <t>(Nominas Elaboradas/Nominas Programados)*100</t>
  </si>
  <si>
    <t>(Bienes Muebles e Inmuebles Adquiridos en el ejercicio Fiscal actual con Resguardo /Bienes Muebles e Inmuebles Adquiridos  en el ejercicio Fiscal actual Programados Adquirir)*100</t>
  </si>
  <si>
    <t>(Publicacion y Actualizacion del Padron de Usuarios Realizado/Publicacion y Actualizacion del Padron de Usuarios Obligada a Publicar)*100</t>
  </si>
  <si>
    <t>TOTAL</t>
  </si>
  <si>
    <t>2001
2002</t>
  </si>
  <si>
    <t xml:space="preserve">1000
IMPUESTOS </t>
  </si>
  <si>
    <t xml:space="preserve">GASTO CORRIENTE </t>
  </si>
  <si>
    <t xml:space="preserve">GLOBAL </t>
  </si>
  <si>
    <t xml:space="preserve">Entidades </t>
  </si>
  <si>
    <t>Enero</t>
  </si>
  <si>
    <t>Febrero</t>
  </si>
  <si>
    <t>Marzo</t>
  </si>
  <si>
    <t>Abril</t>
  </si>
  <si>
    <t>Mayo</t>
  </si>
  <si>
    <t>Junio</t>
  </si>
  <si>
    <t>Julio</t>
  </si>
  <si>
    <t>Agosto</t>
  </si>
  <si>
    <t>Septiembre</t>
  </si>
  <si>
    <t>Octubre</t>
  </si>
  <si>
    <t>Noviembre</t>
  </si>
  <si>
    <t>Diciembre</t>
  </si>
  <si>
    <t xml:space="preserve">TIPO DE GASTO </t>
  </si>
  <si>
    <t>CONCENTRADO ANALITICO DE LA DIRECCIÓN FINANZAS POA 2020</t>
  </si>
  <si>
    <t>Ejp</t>
  </si>
  <si>
    <t>Nup</t>
  </si>
  <si>
    <t>Partida</t>
  </si>
  <si>
    <t>DIRECTOR DE ADMINISTRACIÓN Y FINANZAS</t>
  </si>
  <si>
    <t>SUELDOS SINDICALIZADOS</t>
  </si>
  <si>
    <t>SOBRESUELDO VIDA CARA</t>
  </si>
  <si>
    <t>SUELDOS FUNCIONARIOS</t>
  </si>
  <si>
    <t>SUELDOS CONTRATO MANUAL</t>
  </si>
  <si>
    <t>QUINQUENIOS POR ANTIGÜEDAD</t>
  </si>
  <si>
    <t>PRIMA VACACIONAL</t>
  </si>
  <si>
    <t>AGUINALDO</t>
  </si>
  <si>
    <t>COMPENSACIONES</t>
  </si>
  <si>
    <t>APORTACIONES ISSSTE CUOTA FEDERAL</t>
  </si>
  <si>
    <t>APORTACION ISSSTE CUOTA GUERRERO</t>
  </si>
  <si>
    <t>CUOTA IMSS APORTACION EMPRESA</t>
  </si>
  <si>
    <t>FINIQUITO E INDEMNIZACIONES</t>
  </si>
  <si>
    <t>PERMISOS ECONOMICOS</t>
  </si>
  <si>
    <t>I.S.R. FUNCIONARIOS</t>
  </si>
  <si>
    <t>I.S.R. EMPLEADOS</t>
  </si>
  <si>
    <t>DESPENSA</t>
  </si>
  <si>
    <t>PRESTACIONES CONTRACTUALES (PS)</t>
  </si>
  <si>
    <t>BECAS DE ESTUDIO</t>
  </si>
  <si>
    <t>BONO DEL DIA DEL BUROCRATA</t>
  </si>
  <si>
    <t>BONO DEL DIA DE LA MADRE</t>
  </si>
  <si>
    <t>BONO DEL DIA DEL PADRE</t>
  </si>
  <si>
    <t>ESTIMULOS</t>
  </si>
  <si>
    <t>MATERIALES Y SUMINISTROS PARA OFICINA</t>
  </si>
  <si>
    <t>MATERIAL DE COMPUTO</t>
  </si>
  <si>
    <t>PRODUCTOS ALIMENTICIOS</t>
  </si>
  <si>
    <t>COMBUSTIBLES</t>
  </si>
  <si>
    <t>REFACC Y ACCS DE MOBILIARIO Y EQUIPO</t>
  </si>
  <si>
    <t>REFACC Y ACCS DE EQPO DE COMPUTO</t>
  </si>
  <si>
    <t>REFACC Y ACCESORIOS DE EQPO DE TRANSPORTE</t>
  </si>
  <si>
    <t>ENERGIA ELECTRICA</t>
  </si>
  <si>
    <t>TELEFONOS</t>
  </si>
  <si>
    <t>SERVICIOS DE APOYO ADMINISTRATIVO, FOTOC</t>
  </si>
  <si>
    <t>SERVICIOS MEDICOS</t>
  </si>
  <si>
    <t>COMISIONES BANCARIAS</t>
  </si>
  <si>
    <t>OTROS REDONDEOS</t>
  </si>
  <si>
    <t>PASAJES AEREOS NACIONALES</t>
  </si>
  <si>
    <t>PASAJES LOCALES</t>
  </si>
  <si>
    <t>PEAJES LOCALES</t>
  </si>
  <si>
    <t>PASAJES FORANEOS (AUTOBUS)</t>
  </si>
  <si>
    <t>PEAJE FORANEOS</t>
  </si>
  <si>
    <t>VIATICOS</t>
  </si>
  <si>
    <t xml:space="preserve">ALIMENTACION </t>
  </si>
  <si>
    <t>HOSPEDAJE</t>
  </si>
  <si>
    <t>PARA FUNERALES</t>
  </si>
  <si>
    <t>GASTOS LEGALES (Por Ejecuciòn)</t>
  </si>
  <si>
    <t>MULTAS Y RECARGOS</t>
  </si>
  <si>
    <t>ACTUALIZACIONES</t>
  </si>
  <si>
    <t>INDEMNIZACIONES POR DAÑOS A TERCEROS</t>
  </si>
  <si>
    <t>15% PRO-TURISMO</t>
  </si>
  <si>
    <t>15% ECOLOGIA</t>
  </si>
  <si>
    <t>2% S/NOMINAS</t>
  </si>
  <si>
    <t>15% EDUCACION Y ASISTENCIA SOCIAL</t>
  </si>
  <si>
    <t>AYUDAS DIVERSAS</t>
  </si>
  <si>
    <t>MOBILIARIO Y EQUIPO DE OFICINA</t>
  </si>
  <si>
    <t>MOBILIARIO Y EQUIPO DE COMPUTO</t>
  </si>
  <si>
    <t>AUTOMÒVILES Y CAMIONES</t>
  </si>
  <si>
    <t>CAPITAL CREDITO BANORTE</t>
  </si>
  <si>
    <t>INTERESES DE CREDITO BANORTE</t>
  </si>
  <si>
    <t>GASTOS DE LA DEUDA</t>
  </si>
  <si>
    <t>AGUINALDO EJERCICIO ANTERIOR</t>
  </si>
  <si>
    <t>I.S.R.</t>
  </si>
  <si>
    <t>ISSSPEG</t>
  </si>
  <si>
    <t>DERECHOS POR EXTRACCION DE AGUAS</t>
  </si>
  <si>
    <t>PROVEEDORES VARIOS</t>
  </si>
  <si>
    <t>RVA.GRATIF. PRIMA VACACIONAL Y ANTIG</t>
  </si>
  <si>
    <t>LIQUIDACIONES PENDIENTES POR PAGAR</t>
  </si>
  <si>
    <t>TESORERÌA GENERAL</t>
  </si>
  <si>
    <t>UNIFORMES</t>
  </si>
  <si>
    <t>CORREOS</t>
  </si>
  <si>
    <t>DEPARTAMENTO DE INGRESOS</t>
  </si>
  <si>
    <t>PRIMA DOMINICAL</t>
  </si>
  <si>
    <t>TRASLADO DE VALORES</t>
  </si>
  <si>
    <t>MOBILIARIO Y EQPO DE COMPUTO</t>
  </si>
  <si>
    <t>DEPARTAMENTO DE EGRESOS</t>
  </si>
  <si>
    <t>GUARDERIA</t>
  </si>
  <si>
    <t>DEPARTAMENTO DE CONTABILIDAD GENERAL</t>
  </si>
  <si>
    <t>SERVICIOS DE APOYO ADMINISTRATIVO, FOTOCOPIADO</t>
  </si>
  <si>
    <t>OTROS MOBILIARIOS Y EQUIPOS DE ADMINISTRACION</t>
  </si>
  <si>
    <t>DEPTO.DE UNIDADES RECEPT.CENTRALES TERR</t>
  </si>
  <si>
    <t>ARRENDAMIENTO DE CAJEROS AUT</t>
  </si>
  <si>
    <t>DEP. DE CONTROL PRESUPUESTAL Y ANÀLISIS</t>
  </si>
  <si>
    <t>DEPARTAMENTO DE RECURSOS HUMANOS</t>
  </si>
  <si>
    <t>HORAS EXTRAS</t>
  </si>
  <si>
    <t>SEGURO DE VIDA</t>
  </si>
  <si>
    <t>PREVISION SOCIAL</t>
  </si>
  <si>
    <t>GAFETES Y CREDENCIALES</t>
  </si>
  <si>
    <t>MEDICAMENTOS</t>
  </si>
  <si>
    <t>DEPARTAMENTO DE SERVICIOS MÈDICOS</t>
  </si>
  <si>
    <t>MATERIAL MEDICO</t>
  </si>
  <si>
    <t>MATERIAL DENTAL Y DE LABORATORIO</t>
  </si>
  <si>
    <t>DEPARTAMENTO DE SERVICIOS GENERALES</t>
  </si>
  <si>
    <t>ASEO Y LIMPIEZA</t>
  </si>
  <si>
    <t>MATERIAL ELECTRICO</t>
  </si>
  <si>
    <t>OTROS MATS Y ARTS DE CONSTRUCC Y REP</t>
  </si>
  <si>
    <t>PRENDAS DE SEGURIDAD</t>
  </si>
  <si>
    <t>HERRAMIENTAS MENORES</t>
  </si>
  <si>
    <t>REFACC Y ACCESORIOS DE EDIFICIOS</t>
  </si>
  <si>
    <t>NEUMATICOS</t>
  </si>
  <si>
    <t>REFACC. Y ACCES. MENORES PARA MAQUINARIA</t>
  </si>
  <si>
    <t>REFACC. Y ACC. DE OTROS BIENES MUEBLES</t>
  </si>
  <si>
    <t>TELEFONIA CELULAR</t>
  </si>
  <si>
    <t>ARRENDAMIENTO DE INMUEBLES</t>
  </si>
  <si>
    <t>SERVICIOS DE APOYO ADMIN. FOTOCOPIADO</t>
  </si>
  <si>
    <t>SEGUROS Y FIANZAS</t>
  </si>
  <si>
    <t>MANTENIMIENTO Y REPARACION DE EDIFICIOS</t>
  </si>
  <si>
    <t>MANTO Y REPARACION DE EQUIPO DE TRANS,</t>
  </si>
  <si>
    <t>MANTO Y REP DE MAQ Y EQPO D CONSTRUCCION</t>
  </si>
  <si>
    <t>FUMIGACION Y DESINFECCION</t>
  </si>
  <si>
    <t>DIF.POR RADIO Y TV P/PROMOVER VTA SERV</t>
  </si>
  <si>
    <t>SUSCRIPCIONES Y CUOTAS</t>
  </si>
  <si>
    <t>TENENCIAS Y PLACAS</t>
  </si>
  <si>
    <t>DEPARTAMENTO DE ADQUISICIONES</t>
  </si>
  <si>
    <t>DEPARTAMENTO DE ALMACENES</t>
  </si>
  <si>
    <t xml:space="preserve">TOTAL </t>
  </si>
  <si>
    <t>Programa Operativo Anual 2020</t>
  </si>
  <si>
    <t>Registro, Revision y Elaboracion de los Estados Financieros, que contemplan la Informacion Contable, mensual de acuerdo a la normatividad vigente.</t>
  </si>
  <si>
    <t>Publicacion, Actualizacion  de la informacion contable de manera trimestral a al ciudadania a traves del portal de la CAPAMA, de acuerdo a los terminos que establezcan las disposiciones aplicables.</t>
  </si>
  <si>
    <t>Elaboración de reportes diarios del ingreso obtenido a travès  de las oficinas recaudadoras.</t>
  </si>
  <si>
    <t>Programado - Modificado</t>
  </si>
  <si>
    <t>AUTORIZADO</t>
  </si>
  <si>
    <t>MODIFICADO</t>
  </si>
  <si>
    <t>APLICADO</t>
  </si>
  <si>
    <t>ENERO</t>
  </si>
  <si>
    <t>FEBRERO</t>
  </si>
  <si>
    <t>MARZO</t>
  </si>
  <si>
    <t>TRIMESTRAL</t>
  </si>
  <si>
    <t>ABRIL</t>
  </si>
  <si>
    <t>MAYO</t>
  </si>
  <si>
    <t>JUNIO</t>
  </si>
  <si>
    <t>JULIO</t>
  </si>
  <si>
    <t>AGOSTO</t>
  </si>
  <si>
    <t>SEPTIEMBRE</t>
  </si>
  <si>
    <t>OCTUBRE</t>
  </si>
  <si>
    <t>NOVIEMBRE</t>
  </si>
  <si>
    <t>DICIEMBRE</t>
  </si>
  <si>
    <t>MENS</t>
  </si>
  <si>
    <t>CAP 1000</t>
  </si>
  <si>
    <t>EGRESOS</t>
  </si>
  <si>
    <t>GASTOS</t>
  </si>
  <si>
    <t>TRIM</t>
  </si>
  <si>
    <t>PTO</t>
  </si>
  <si>
    <t>ADQ</t>
  </si>
  <si>
    <t>0</t>
  </si>
  <si>
    <t>Publicacion, Actualizacion  de la informacion contable de manera trimestral a la ciudadania atraves del portal de la CAPAMA, de acuerdo a los terminos que establezcan las disposiciones aplicables.</t>
  </si>
  <si>
    <t>enero</t>
  </si>
  <si>
    <t>febrero</t>
  </si>
  <si>
    <t>marzo</t>
  </si>
  <si>
    <t>abril</t>
  </si>
  <si>
    <t>mayo</t>
  </si>
  <si>
    <t>junio</t>
  </si>
  <si>
    <t>julio</t>
  </si>
  <si>
    <t>agosto</t>
  </si>
  <si>
    <t>septiembre</t>
  </si>
  <si>
    <t>octubre</t>
  </si>
  <si>
    <t>noviembre</t>
  </si>
  <si>
    <t>diciembre</t>
  </si>
  <si>
    <t>Estado analítico de ingresos</t>
  </si>
  <si>
    <t>Notas de Memoria</t>
  </si>
  <si>
    <t>Revelacion de Partidas Nuevas</t>
  </si>
  <si>
    <t>XXI-A</t>
  </si>
  <si>
    <t>XXI-B</t>
  </si>
  <si>
    <t>XXI-C</t>
  </si>
  <si>
    <t>XXXI-A</t>
  </si>
  <si>
    <t>XXXI-B</t>
  </si>
  <si>
    <t>Calendario del Ingreso</t>
  </si>
  <si>
    <t>Calendario del Gasto</t>
  </si>
  <si>
    <t>Nombre de las Actividades</t>
  </si>
  <si>
    <t>X</t>
  </si>
  <si>
    <t>COMISION DE AGUA POTABLE Y ALCANTARILLADO DEL MUNICIPIO DE ACAPULCO</t>
  </si>
  <si>
    <t>ACCIONES Y ACTIVIDADES PROGRAMADAS EN EL  EJERCICIO FISCAL 2020, PARA EL FORTALECIMIENTO DE LAS FINANZAS Y RENDICIÒN DE CUENTA DE LA DIRECCIÒN DE FINANZAS</t>
  </si>
  <si>
    <t>DEPARTAMENTO DE CONTROL PRESUPUESTAL Y ANALISIS</t>
  </si>
  <si>
    <t>Ley de Ingresos 2020</t>
  </si>
  <si>
    <t>Presupuesto de Egresos 2020</t>
  </si>
  <si>
    <t>Acta de Autorizacion de los Presupuestos 2020</t>
  </si>
  <si>
    <t xml:space="preserve">Clasificacion Administrativa Interna
</t>
  </si>
  <si>
    <t xml:space="preserve">Clasificacion Administrativa Paraestatal
</t>
  </si>
  <si>
    <t>Clasificacion Economica</t>
  </si>
  <si>
    <t>Clasificacion Por objeto del gasto</t>
  </si>
  <si>
    <t>Clasificacion Funcional</t>
  </si>
  <si>
    <t>Clasificacion Programatica</t>
  </si>
  <si>
    <t>COMISIÒN DE AGUA POTABLE Y ALCANTARILLADO DEL MUNICIPIO DE ACAPULCO</t>
  </si>
  <si>
    <t>ACCIONES Y ACTIVIDADES PROGRAMADAS EN EL PRIMER TRIMESTRE DEL EJERCICIO FISCAL 2020, PARA EL FORTALECIMIENTO DE LAS FINANZAS Y RENDICIÒN DE CUENTA DE LA                         DIRECCIÒN DE FINANZAS</t>
  </si>
  <si>
    <t>Totales:</t>
  </si>
  <si>
    <t xml:space="preserve">Subtotal </t>
  </si>
  <si>
    <t>Dirección General</t>
  </si>
  <si>
    <t>Línea de Acción</t>
  </si>
  <si>
    <t>Diseñar, ejecutar, supervisar y presentar las acciones de la Dirección General de la CAPAMA, ante los medios públicos y los órganos de control interno.</t>
  </si>
  <si>
    <t>Información pública realizada / Información pública programada * 100</t>
  </si>
  <si>
    <t>Monto ejercido / monto programado * 100</t>
  </si>
  <si>
    <t>Agenda</t>
  </si>
  <si>
    <t>(Agendas semanales realizadas / Agendas semanales programadas) * 100</t>
  </si>
  <si>
    <t>Atender de manera eficaz las quejas y denuncias presentadas, así como los  asuntos turnados por la Dirección General.</t>
  </si>
  <si>
    <t>Asuntos</t>
  </si>
  <si>
    <t>(Asuntos Recibidos/ Asuntos Concluidos) *100</t>
  </si>
  <si>
    <t>Supervisar los procesos de las obras a cargo de la Dirección de Operación y control del uso de los materiales.</t>
  </si>
  <si>
    <t>Obras</t>
  </si>
  <si>
    <t>(Obras Supervisadas / Obra Programadas) *100</t>
  </si>
  <si>
    <t>Efectuar revisiones a las operaciones de las unidades administrativas del organismo.</t>
  </si>
  <si>
    <t>Revisión</t>
  </si>
  <si>
    <t>(Revisiones Concluidas / Revisiones Programadas) *100</t>
  </si>
  <si>
    <t>Monitoreo de medios impresos para atención a problemáticas de la ciudadanía en agua potable, alcantarillado y bacheo.</t>
  </si>
  <si>
    <t>Síntesis informativa</t>
  </si>
  <si>
    <t>(Monitoreos de problemáticas en medios impresos realizados / Monitoreos de problemáticas en medios impresos programados ) * 100</t>
  </si>
  <si>
    <t>Defender los intereses juridicos ante autoridades federales, estatales, municipales, administrativas jurisdiccionales y particulares ya sea personas fisicas o morales de todo procedimiento que represente un riesgo para los intereses del organismo.</t>
  </si>
  <si>
    <t>Asuntos jurídicos</t>
  </si>
  <si>
    <t>(Asuntos jurídicos contestados / Asuntos jurídicos presentados ante el organismo) * 100</t>
  </si>
  <si>
    <t>Modernizar las comunicaciones y equipos de cómputo del organismo</t>
  </si>
  <si>
    <t xml:space="preserve">Modernizaciones </t>
  </si>
  <si>
    <t>(Modernizaciones Realizadas/ Modernizaciones Programadas) *100</t>
  </si>
  <si>
    <t>Atender y controlar el acceso a los sistemas informáticos</t>
  </si>
  <si>
    <t>Accesos</t>
  </si>
  <si>
    <t>(Accesos realizados / Accesos Programados) *100</t>
  </si>
  <si>
    <t>Vigilar la operación y mantenimiento preventivo de los sistemas de información</t>
  </si>
  <si>
    <t>Mantenimientos</t>
  </si>
  <si>
    <t>(Mantenimientos y soporte relizados a los sistemas /Total de mantenimientos y soportes programados) *100</t>
  </si>
  <si>
    <t>Mantenimiento y reparación de equipos de cómputo</t>
  </si>
  <si>
    <t>(Servicios Realizados / Servicios Programados) *100</t>
  </si>
  <si>
    <t>Subtotal :</t>
  </si>
  <si>
    <t>PROGRAMA 1: PLANEAR, OPERAR, DIRIGIR, TRAMITAR Y RESOLVER LOS ASUNTOS DE LA CAPAMA.</t>
  </si>
  <si>
    <t xml:space="preserve"> PROGRAMA 2: FORTALECIMIENTO DE LAS FINANZAS DE LA CAPAMA.</t>
  </si>
  <si>
    <t>Estrategias</t>
  </si>
  <si>
    <t>Monto Ejercido / Monto Programado x 100</t>
  </si>
  <si>
    <t>Contratos</t>
  </si>
  <si>
    <t>Medidores</t>
  </si>
  <si>
    <t>Visitas</t>
  </si>
  <si>
    <t>Solicitudes</t>
  </si>
  <si>
    <t>Recibos</t>
  </si>
  <si>
    <t>Inconformidades</t>
  </si>
  <si>
    <t>(Estrategias Realizadas) / (Estrategias Programadas) * 100</t>
  </si>
  <si>
    <t xml:space="preserve">Realización de recorridos para identificar obras o inmuebles para requerir el pago por el Uso y Aprovechamiento de la Infraestructura Hidrosanitaria. </t>
  </si>
  <si>
    <t>Incrementar el Padron General con la incorporación de nuevos usuarios del Servicio de Agua Potable.</t>
  </si>
  <si>
    <t>Reparto puntual de recibos de agua a usuarios de la Oficina Central.</t>
  </si>
  <si>
    <t>(Cantidad de recibos entregados  / Cantidad de recibos programados para su entrega) * 100</t>
  </si>
  <si>
    <t>Reparto puntual de recibos de agua a los usuarios de las Gerencias Renacimiento, Coloso, Pie de la Cuesta y Diamante.</t>
  </si>
  <si>
    <t>Realizar visitas domiciliarias de Notificación de Adeudo y Corte de Servicio a usuarios morosos.</t>
  </si>
  <si>
    <t>Atención a Usuarios, que presentan inconformidades en los módulos  de atencion integral.</t>
  </si>
  <si>
    <t>(Actividades de Recaudacion y Operación Realizadas) / (Actividades de Recaudacion y Operacion Programadas ) * 100</t>
  </si>
  <si>
    <t>Realizacion de actividades de recaudacion  y de operación de la  Gerencia Renacimiento</t>
  </si>
  <si>
    <t>Realizacion de actividades de recaudacion  y de operación de la  Gerencia Coloso</t>
  </si>
  <si>
    <t>Realizacion de actividades de recaudacion  y de operación de la  Gerencia Pie de la Cuesta</t>
  </si>
  <si>
    <t>Subtotal:</t>
  </si>
  <si>
    <t>Dirección de Operación</t>
  </si>
  <si>
    <t>(Monto ejercido/Monto programado) * 100</t>
  </si>
  <si>
    <t>4001-4036</t>
  </si>
  <si>
    <t>4006-4008</t>
  </si>
  <si>
    <t>Equipos</t>
  </si>
  <si>
    <t>Monitoreos</t>
  </si>
  <si>
    <t>C1. A1.- Realizar las reuniones de coordinación con las areas a cargo de la Dirección Operativa, logrando con esto un mejor servicio a la población</t>
  </si>
  <si>
    <t>Reuniones</t>
  </si>
  <si>
    <t>C1. A2.- Preparar las reuniones  necesarias para mejorar el servicio que se brinda a la ciudadania de acuerdo al marco operativo del organismo.</t>
  </si>
  <si>
    <t>C1. A3.- Cumplir con la extracción de agua del rio Papagayo</t>
  </si>
  <si>
    <t>C1. A4.- Cumplir con las actividades que coadyuven a la operatividad de los sistemas  de agua potable municipal</t>
  </si>
  <si>
    <t>C1. A5.- Potabilizar la mayor cantidad de agua posible cumpliendo con los parametros de calidad establecida en la NOM-127-SSA1-1997</t>
  </si>
  <si>
    <t>C1. A6.- Realizar y coordinar el programa de mantenimiento preventivo-correctivo de los equipos electromecanicos en el rubro mecanico</t>
  </si>
  <si>
    <t>C1. A7.- Cumplir con el programa de mantenimiento preventivo correctivo de los equipos electromecanicos</t>
  </si>
  <si>
    <t>C2. A1. Cumplir con las actividades que coadyuven a la operatividad de los sistemas sanitarios, tanto en colectores, redes, y carcamos de aguas negras</t>
  </si>
  <si>
    <t>Metros lineales</t>
  </si>
  <si>
    <t>C3. A1. Realizar las reuniones de coordinación con las areas a cargo de la Subdirección de Saneamiento</t>
  </si>
  <si>
    <t>C3. A2. Coordinar las actividades necesarias para el mejor tratamiento de las aguas residuales de acuerdo a la normatividad establecida en la materia</t>
  </si>
  <si>
    <t>C4. A1. Cumplir con la rehabililitación y/o construcción de infraestructura civil afectada o que afecta la operatividad de los sistemas hidrosanitarios municipales</t>
  </si>
  <si>
    <t>Dirección Técnica</t>
  </si>
  <si>
    <t xml:space="preserve"> 5.8.2.- Realizar de forma transparente los procesos de licitación y adjudicación de las obras y proyectos que realiza la CAPAMA.
 5.8.3.- Elaboración y revisión de factibilidad técnica de proyectos.
 5.8.5.- Preparar las reuniones técnicas necesarias para mejorar el servicio que se brinda a la ciudadanía de acuerdo al marco operativo del organismo de la CAPAMA.
 5.8.12.- Cumplir con la construcción, ampliación o rehabilitación de la infraestructura civil.
 6.1.2.- Elaboración de Proyectos Ejecutivos de Agua Potable, Alcantarillado y Saneamiento.
 6.1.3.- Ejecución y supervisión física de las obras públicas que realiza el Ayuntamiento.
 6.1.4.- Estudios de disponibilidad de agua para explotación de agua subterránea y/o captación en fuente superficial.
 6.1.6.- Atención de obra pública requerida en las Zonas de Atención Prioritaria (ZAP). 
 6.1.7.- Atender los requerimientos en obras de agua potable captadas en las Asambleas Comunitarias 2018 realizadas en las localidades rurales. 
 6.1.8.- Atender los requerimientos en obras de agua potable y drenaje en localidades rurales y colonias del municipio.</t>
  </si>
  <si>
    <t>Economia</t>
  </si>
  <si>
    <t xml:space="preserve">Realizar las actividades de gestión de recursos y planeaciones técnicas para atender la demanda ciudadana, mejorando el servicio que brinda la CAPAMA. </t>
  </si>
  <si>
    <t>(Actividades Realizadas de la Dirección Técnica / Actividades Programadas de la Dirección Técnica) * 100</t>
  </si>
  <si>
    <t>(Monto Ejercido/Monto Programado) * 100</t>
  </si>
  <si>
    <t>monto</t>
  </si>
  <si>
    <t>Ejercido</t>
  </si>
  <si>
    <t>Elaboración de Proyectos Ejecutivos de Agua Potable, Alcantarillado y Saneamiento</t>
  </si>
  <si>
    <t>Proyectos Ejecutivos</t>
  </si>
  <si>
    <t>(Proyectos Ejecutivos Realizados / Proyectos Ejecutivos Programados)
*100</t>
  </si>
  <si>
    <t>Elaboración de Presupuestos de los Proyectos Ejecutivos e Agua Potable, Alcantarillado y Saneamiento</t>
  </si>
  <si>
    <t>Presupuestos de Obra</t>
  </si>
  <si>
    <t>(Presupuestos de Obra Pública Realizado / Presupuestos de Obra Pública Programados)
*100</t>
  </si>
  <si>
    <t>Supervisión fisica y evaluación de las obras públicas o actividades derivadas de la demanda social</t>
  </si>
  <si>
    <t>(Supervisiones de Contratos de Obra Pública realizado en el Mpio de Acapulco / Supervisiones de Contratos de Obra Pública Programadas en el Mpio de Acapulco)
*100</t>
  </si>
  <si>
    <t>Administración, participacion y ejecución de actividades en los programas de obras y acciones que ejecuta el organismo con diferentes fuentes de recursos</t>
  </si>
  <si>
    <t>(Contratos de Obra Pública Realizados / Contratos de Obra Púbilca Programados)
*100</t>
  </si>
  <si>
    <t xml:space="preserve">Recorridos y asistencia técnica dar atencion a la demanda ciudadana derivada de reuniones, recorridos técnicos y mesas de trabajo en la Subdireción de Construcción de la Direción Técnica </t>
  </si>
  <si>
    <t>(Actividades Realizadas de la Subdirección Construcción / Actividades Programadas de la Subdirección de Construcción) * 100</t>
  </si>
  <si>
    <t>acciones para dar atencion a la demanda ciudadana derivada de trámites de factibilidades, reuniones, recorridos técnicos y mesas de trabajo en la Subdireción de Planeación de la Direción Técnica</t>
  </si>
  <si>
    <t>(proyectos técnicos revisados/ proyectos ténicos programados) *100</t>
  </si>
  <si>
    <t>Elaboración de acciones de rehabilitación de infraestructura hidrosanitaria</t>
  </si>
  <si>
    <t>(Acciones de rehabilitación realizadas/ acciones de rehabilitación programada) *100</t>
  </si>
  <si>
    <t>Trámite de títulos de Concesión y aforos en plantas de tratamiento</t>
  </si>
  <si>
    <t>(aforos elaborados/ aforos programados) *100</t>
  </si>
  <si>
    <t>Elaboración de diagnóstico hidráulico del sistema para mejorar el servicio que brinda a la población la CAPAMA.</t>
  </si>
  <si>
    <t>Balances</t>
  </si>
  <si>
    <t>(balances hidráulicos programados/ balances hidráulicos elaborados) *100</t>
  </si>
  <si>
    <t>Ejecución de obras públicas</t>
  </si>
  <si>
    <t>(dictamenes elaborados/dictamenes programados) *100</t>
  </si>
  <si>
    <t>Dirección de Gestión Ciudadana</t>
  </si>
  <si>
    <t xml:space="preserve">Demandas </t>
  </si>
  <si>
    <t>Servicios</t>
  </si>
  <si>
    <t>Monto total ejercido / monto total programado * 100</t>
  </si>
  <si>
    <t>Participar en atencion a la demnanda ciudadana, mesas de trabajo, recorridos, integracion de comités, en coordinación con otras dependencias, asi como asesorar y orientar hasta su conclusión las quejas  contra actos u omisiones de las distintas áreas del Organismo.</t>
  </si>
  <si>
    <t>(Acciones realizadas / Acciones programadas)  * 100</t>
  </si>
  <si>
    <t>Fomentando actividades  para el uso sustentable del agua.</t>
  </si>
  <si>
    <t>(Actividades realizadas para el uso sustentable del agua/ Actividades programas para uso sustentable del agua) * 100</t>
  </si>
  <si>
    <t>Atención a Demandas Ciudadanas Vía Telefónicas 073.</t>
  </si>
  <si>
    <t>(Reportes atendidos vía telefónica / Reportes captados vía telefónica) * 100</t>
  </si>
  <si>
    <t>Mitigar la falta de servicio de agua mediante la entrega de servicios de agua en pipa.</t>
  </si>
  <si>
    <t>(Servicios atendidos / Servicios captados  )* 100</t>
  </si>
  <si>
    <t xml:space="preserve">  PROGRAMA 3: MEJORA EN LA FACTURACIÓN Y RECAUDACIÓN</t>
  </si>
  <si>
    <t>PROGRAMA 4: ACCIONES PARA EFICIENTAR SERVICIOS HIDROSANITARIOS, ASÍ COMO MEJORAMIENTO DE LA INFRAESTRUCTURA CIVIL.</t>
  </si>
  <si>
    <t>PROGRAMA 5: PLANEACIÓN, CONTRATACIÓN Y EJECUCIÓN DE OBRA PÚBLICA.</t>
  </si>
  <si>
    <t>PROGRAMA 6: FOMENTAR ACCIONES PARA EL DESARROLLO DE UNA NUEVA CULTURA DEL AGUA.</t>
  </si>
  <si>
    <t>1 Municipio con Gobernabilidad y Empoderamiento Ciudadano</t>
  </si>
  <si>
    <t>1 Municipio con Gobernabilidad y Empoderamiento Ciudadano
2 Municipio con equidad y bienestar social</t>
  </si>
  <si>
    <t>Dirección Comercial</t>
  </si>
  <si>
    <t>1.1.1 Adecuar el marco legal que acote las atribuciones y funciones públicas, reformando: 1) Bando de Policía y Gobierno con enfoque de derechos humanos, 2) Reglamento Interno de la Administración Pública Municipal, 3) Reglamento de Participación Ciudadana, 4) Reglamento de Tránsito y Vialidad, 5) Reglamento de Transparencia y Rendición de Cuentas, 6) Actualización del marco jurídico de mercados para la imagen y funcionamiento, 7) Reglamento de Panteones, 8) Reglamento de Turismo Municipal, 9) Reglamento Interior de la Secretaría de Turismo Municipal, 10) Reglamento Consultivo Municipal de Turismo de Acapulco y demás reglamentos que sean necesarios actualizar.
1.2.2 Aplicar estrictamente sin excepción, las sanciones previstas en la ley.
1.2.10 Defender los intereses juridicos ante autoridades federales, estatales, municipales, administrativas jurisdiccionales y particulares ya sea personas fisicas o morales de todo procedimiento que represente un riesgo para los interéses de la administración pública municipal.
3.1.3 Programa de mantenimiento y reparaciòn de instalaciones, equipo, vehìculos y maquinaria de la administraciòn pùblica.
3.1.4 Modernizaciòn de los Sistemas de Comunciaciòn Interna.
3.3.6 Mantenimiento de equipos de cómputo para eficientar procesos de las diversas áreas de la administración pública municipal.
3.3.9 Modernizar las comunicaciones y equipos de cómputo del gobierno municipal y de la CAPAMA.
3.3.10 Mantenimiento preventivo de los sistemas de información y equipos de cómputo de la CAPAMA.
3.4.2 Capacitación interna para la prevención, corrección e investigación de los actos u omisiones de los servidores públicos.
4.2.8 Difundir a travès de los Portales del Gobierno Municipal y de la CAPAMA informaciòn de interès pùblico de acuerdo a las disposiciones legales en la materia. 
4.2.9 Monitoreo de medios de comunicación y redes sociales para atención a problemáticas de la ciudadanía en los servicios públicos.
4.2.10 Publicar oportunamente la Informaciòn en fracciones requeridas en la Plataforma Nacional de Transparencia.
4.3.1 Atención y seguimiento a las auditorías externas realizadas al municipio.
4.3.3 Implementar acciones para verificar que los Programas y Proyectos se realicen de conformidad con la Normatividad Vigente.</t>
  </si>
  <si>
    <t>TOTAL:</t>
  </si>
  <si>
    <t>1.2.2 Aplicar estrictamente sin excepción, las sanciones previstas en la ley.
3.1.11 Incentivar la cultura tributaria exhortando a las personas a que paguen sus cuotas tanto en impuestos como en derechos, de tal forma que el municipio alcance los recursos económico financieros que permitan el óptimo funcionamiento de las unidades administrativas.
3.2.1 Recaudación fiscal eficiente.
4.2.8 Difundir a través de los Portales del Gobierno Municipal y de la CAPAMA información de interés público de acuerdo a las disposiciones legales en la materia. 
4.2.10 Publicar oportunamente la Información en fracciones requeridas en la Plataforma Nacional de Transparencia.
4.3.1 Atención y seguimiento a las auditorías externas realizadas al municipio.
4.3.3 Implementar acciones para verificar que los Programas y Proyectos se realicen de conformidad con la Normatividad Vigente.
4.3.6 Cumplir al 100% los requerimientos del Sistema de Evaluación de la Armonización Contable (SEVAC).</t>
  </si>
  <si>
    <t>5.8.13 Mantener la distribución de agua en pipas las a colonias con problemas en la red de agua potable
17.2.1 Estudio diagnóstico de la ciudad sobre uso y conservación del aire, agua y energía.</t>
  </si>
  <si>
    <t xml:space="preserve">3.1.3 Programa de mantenimiento y reparación de instalaciones, equipo, vehículos y maquinaria de la administración pública.
3.1.4 Modernización de los Sistemas de Comunicación Interna.      
3.1.6 Control del Gasto Corriente.      
3.1.7 Reducción de la Plantilla de Personal.
3.1.9 Atender las requisiciones para la compra de materiales y suministros para el funcionamiento óptimo de las Unidades Administrativas.        
3.1.10 Pago a proveedores con oportunidad y eficiencia haciendo uso de las TIC’s. 
3.4.2 Capacitación interna para la prevención, corrección e investigación de los actos u omisiones de los servidores públicos.
4.2.3 Establecer mecanismos para garantizar la Transparencia en los Procesos de Adquisiciones.
4.2.7 Elaboración de Estados Financieros y Reportes Presupuestales de Acuerdo a la Normatividad Aplicable.
 4.2.8 Difundir a través de los Portales del Gobierno Municipal y de la CAPAMA información de interés público de acuerdo a las disposiciones legales en la materia.
4.2.10 Publicar oportunamente la Información en fracciones requeridas en la Plataforma Nacional de Transparencia.
4.3.1 Atención y seguimiento a las auditorías externas realizadas al municipio.
4.3.3 Implementar acciones para verificar que los Programas y Proyectos se realicen de conformidad con la Normatividad Vigente.
4.3.6 Cumplir al 100% los requerimientos del Sistema de Evaluación de la Armonización Contable (SEVAC). </t>
  </si>
  <si>
    <t>Reconstruir la confianza de la ciudadanía en su gobierno municipal, a través del cumplimiento efectivo de la ley, del impulso a la participación y la corresponsabilidad de la ciudadanía en todas las acciones de gobierno, a fin de lograr un manejo honesto y eficaz de los recursos, brindando servicios públicos eficientes y promoviendo como principal objetivo la recuperación de la seguridad pública y la reconciliación social.
Generar un desarrollo económico impulsando la inversión pública, privada y social en el municipio, fomentando la cooperación entre los sectores sociales y productivos para generar empleos y potencializar las capacidades de los emprendedores y la vocación de cada localidad, respetando y haciendo uso racional de los recursos naturales.</t>
  </si>
  <si>
    <t>Eje1. Municipio con Gobernabilidad y Empoderamiento Ciudadano.
Eje 3: Municipio con desarrollo solidario y crecimiento sostenible</t>
  </si>
  <si>
    <t>Reconstruir la confianza de la ciudadanía en su gobierno municipal, a través del cumplimiento efectivo de la ley, del impulso a la participación y la corresponsabilidad de la ciudadanía en todas las acciones de gobierno, a fin de lograr un manejo honesto y eficaz de los recursos, brindando servicios públicos eficientes y promoviendo como principal objetivo la recuperación de la seguridad pública y la reconciliación social.
El bienestar social se proyecta cuando las familias son destinatarias de las acciones de un gobierno responsable, eficiente y honesto que le provea o procure las oportunidades socioeconómicas para una mayor calidad de vida.</t>
  </si>
  <si>
    <t>PROGRAMA OPERATIVO ANUAL 2020 MODIFICADO</t>
  </si>
  <si>
    <t>(Recorridos Realizados / Recorridos Programados)*100</t>
  </si>
  <si>
    <t>(Actividades Realizadas) / (Actividades Programadas) *100</t>
  </si>
  <si>
    <t>(Contratos Realizados / Contratoas Programados) *100</t>
  </si>
  <si>
    <t>(Medidores Instañados / Medidores Programados) *100</t>
  </si>
  <si>
    <t>Actualización de datos realizados/ Actualización de datos programados) *100</t>
  </si>
  <si>
    <t>(Inspecciones Realizadas / Inspecciones Solicitadas) *100</t>
  </si>
  <si>
    <t>(Cortes de servicios realizados / Cortes de servicios programados) *100</t>
  </si>
  <si>
    <t>(Atenciones realizadas a usuarios / Atenciones programadas a ususarios) *100</t>
  </si>
  <si>
    <t>Planeacion, implementacion y supervision de estrategias de gestion para la comercializacion del servicio.</t>
  </si>
  <si>
    <t>Eficientar la facturación mensual del organismo operador, determinante para el logro del presupuesto de ingresos 2019.</t>
  </si>
  <si>
    <t>Instalación de Medidores para la recuperación de volúmenes de agua.</t>
  </si>
  <si>
    <t>Recorridos por Sector  para  la actualización de datos del  padrón de usuarios.</t>
  </si>
  <si>
    <t>Atender el 100% de las Inspecciones Domiciliarias generadas por inconformidad de usuarios internos y externos.</t>
  </si>
  <si>
    <t>Realizacion de actividades de recaudacion  y de operación de la  Gerencia Centro.</t>
  </si>
  <si>
    <t>Realizacion de actividades de recaudacion  y de operación de la  Gerencia Dimante.</t>
  </si>
  <si>
    <t>Agendar semanalmente reuniones de trabajo para coordinar las áreas operativas y administrativas.</t>
  </si>
  <si>
    <t>Programado -Modificado</t>
  </si>
  <si>
    <t>Información pública</t>
  </si>
  <si>
    <t>Servicio</t>
  </si>
  <si>
    <t>Servico</t>
  </si>
  <si>
    <t>Realización de recorridos de Lunes a Viernes para garantizar la operatividad de las unidades receptoras (Cajeros automàticos de capama) para la captaciòn de ingresos.</t>
  </si>
  <si>
    <r>
      <t>M</t>
    </r>
    <r>
      <rPr>
        <vertAlign val="superscript"/>
        <sz val="10"/>
        <color theme="1"/>
        <rFont val="Arial Narrow"/>
        <family val="2"/>
      </rPr>
      <t>3</t>
    </r>
  </si>
  <si>
    <r>
      <t>M</t>
    </r>
    <r>
      <rPr>
        <vertAlign val="superscript"/>
        <sz val="10"/>
        <color theme="1"/>
        <rFont val="Arial Narrow"/>
        <family val="2"/>
      </rPr>
      <t>2</t>
    </r>
  </si>
  <si>
    <t>Reconstruir la confianza de la ciudadanía en su gobierno municipal, a través del cumplimiento efectivo de la ley, del impulso a la participación y la corresponsabilidad de la ciudadanía en todas las acciones de gobierno, a fin de lograr un manejo honesto y eficaz de los recursos, brindando servicios públicos eficientes y promoviendo como principal objetivo la recuperación de la seguridad pública y la reconciliación social.
Generar un desarrollo económico impulsando la inversión pública, privada y social en el municipio, fomentando la cooperación entre los sectores sociales y productivos para generar empleos y potencializar las capacidades de los emprendedores y la vocación de cada localidad, respetando y haciendo uso racional de los recursos naturales.</t>
  </si>
  <si>
    <t>5.8.1. Implementación del programa de mantenimiento preventivo-correctivo del equipo electromecanico de la infraestructura hidrosanitaria.
5.8.4. Realizar las reuniones de coordinación con las áreas a cargo de la Dirección Operativa, logrando con esto un mejor servicio a la población.
5.8.6. Cumplir con la extracción de agua del rio Papagayo.   
5.8.7. Reparación de fugas en acueductos, redes principales y tomas domiciliarias.   
5.8.8. Potabilizar la mayor cantidad de agua posible cumpliendo con las normas de calidad establecidas en la NOM-127-SSA1-1997.
5.8.10. Cumplir con la realización del desazolve de las redes de alcantarillado sanitario.  
5.8.11 Construcción, rehabilitación, mantenimiento o ampliación de colectores o atarjeas de la red de drenaje sanitario en diferentes zonas del municipio de Acapulco. 
17.6.2. Construcción, rehabilitación,mantenimiento o ampliación de los sistemas eléctrico y mecánico de cárcamos y plantas de tratamiento de aguas residuales.
17.6.3. Cumplir con la calidad de tratamiento establecida en la normatividad vigente en las plantas de tratamiento. 
17.6.4. Coordinar con las áreas involucradas los análisis de las Plantas Tratadoras de Aguas Residuales (PTARs). 
17.6.5. Rehabilitación y ampliación de Plantas de Trtamiento de Aguas Residuales en zona urbana y conurbada.</t>
  </si>
  <si>
    <t>Cuenta Pública del Ejercicio Fiscal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</si>
</sst>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quot;$&quot;* #,##0.00_-;_-&quot;$&quot;* &quot;-&quot;??_-;_-@_-"/>
    <numFmt numFmtId="43" formatCode="_-* #,##0.00_-;\-* #,##0.00_-;_-* &quot;-&quot;??_-;_-@_-"/>
    <numFmt numFmtId="164" formatCode="&quot;$&quot;#,##0.00"/>
    <numFmt numFmtId="165" formatCode="_-* #,##0_-;\-* #,##0_-;_-* &quot;-&quot;??_-;_-@_-"/>
    <numFmt numFmtId="166" formatCode="#,##0.00_ ;\-#,##0.00\ "/>
    <numFmt numFmtId="167" formatCode="#,##0_ ;\-#,##0\ "/>
    <numFmt numFmtId="168" formatCode="#,##0.000"/>
  </numFmts>
  <fonts count="92">
    <font>
      <sz val="11"/>
      <color theme="1"/>
      <name val="Calibri"/>
      <family val="2"/>
      <scheme val="minor"/>
    </font>
    <font>
      <b/>
      <sz val="20"/>
      <name val="Arial Narrow"/>
      <family val="2"/>
    </font>
    <font>
      <sz val="14"/>
      <name val="Arial Narrow"/>
      <family val="2"/>
    </font>
    <font>
      <sz val="12"/>
      <name val="Arial Narrow"/>
      <family val="2"/>
    </font>
    <font>
      <sz val="10"/>
      <name val="Arial"/>
      <family val="2"/>
    </font>
    <font>
      <b/>
      <sz val="10"/>
      <name val="Arial Narrow"/>
      <family val="2"/>
    </font>
    <font>
      <sz val="8"/>
      <name val="Arial Narrow"/>
      <family val="2"/>
    </font>
    <font>
      <sz val="9"/>
      <name val="Arial Narrow"/>
      <family val="2"/>
    </font>
    <font>
      <b/>
      <sz val="16"/>
      <name val="Arial Narrow"/>
      <family val="2"/>
    </font>
    <font>
      <sz val="14"/>
      <name val="Arial"/>
      <family val="2"/>
    </font>
    <font>
      <b/>
      <sz val="9"/>
      <name val="Arial Narrow"/>
      <family val="2"/>
    </font>
    <font>
      <sz val="9"/>
      <name val="Arial"/>
      <family val="2"/>
    </font>
    <font>
      <b/>
      <sz val="11"/>
      <name val="Arial Narrow"/>
      <family val="2"/>
    </font>
    <font>
      <sz val="12"/>
      <name val="Arial"/>
      <family val="2"/>
    </font>
    <font>
      <b/>
      <sz val="8"/>
      <name val="Arial Narrow"/>
      <family val="2"/>
    </font>
    <font>
      <sz val="13"/>
      <name val="Arial Narrow"/>
      <family val="2"/>
    </font>
    <font>
      <sz val="11"/>
      <color theme="1"/>
      <name val="Calibri"/>
      <family val="2"/>
      <scheme val="minor"/>
    </font>
    <font>
      <b/>
      <sz val="11"/>
      <color theme="1"/>
      <name val="Calibri"/>
      <family val="2"/>
      <scheme val="minor"/>
    </font>
    <font>
      <b/>
      <sz val="14"/>
      <color theme="1"/>
      <name val="Candara"/>
      <family val="2"/>
    </font>
    <font>
      <b/>
      <sz val="16"/>
      <color theme="1"/>
      <name val="Arial Narrow"/>
      <family val="2"/>
    </font>
    <font>
      <b/>
      <sz val="14"/>
      <color theme="1"/>
      <name val="Arial"/>
      <family val="2"/>
    </font>
    <font>
      <b/>
      <sz val="12"/>
      <color theme="1"/>
      <name val="Calibri"/>
      <family val="2"/>
      <scheme val="minor"/>
    </font>
    <font>
      <sz val="10"/>
      <color theme="1"/>
      <name val="Arial Narrow"/>
      <family val="2"/>
    </font>
    <font>
      <sz val="11"/>
      <name val="Calibri"/>
      <family val="2"/>
      <scheme val="minor"/>
    </font>
    <font>
      <b/>
      <sz val="16"/>
      <color theme="1"/>
      <name val="Calibri"/>
      <family val="2"/>
      <scheme val="minor"/>
    </font>
    <font>
      <sz val="16"/>
      <color theme="1"/>
      <name val="Calibri"/>
      <family val="2"/>
      <scheme val="minor"/>
    </font>
    <font>
      <b/>
      <sz val="9"/>
      <color theme="0"/>
      <name val="Arial Narrow"/>
      <family val="2"/>
    </font>
    <font>
      <sz val="9"/>
      <color rgb="FF000000"/>
      <name val="Arial Narrow"/>
      <family val="2"/>
    </font>
    <font>
      <b/>
      <sz val="14"/>
      <color theme="0"/>
      <name val="Cambria"/>
      <family val="2"/>
      <scheme val="major"/>
    </font>
    <font>
      <sz val="14"/>
      <color theme="1"/>
      <name val="Calibri"/>
      <family val="2"/>
      <scheme val="minor"/>
    </font>
    <font>
      <b/>
      <sz val="14"/>
      <color theme="1" tint="0.34998626667073579"/>
      <name val="Cambria"/>
      <family val="2"/>
      <scheme val="major"/>
    </font>
    <font>
      <sz val="14"/>
      <color theme="1"/>
      <name val="Cambria"/>
      <family val="2"/>
      <scheme val="major"/>
    </font>
    <font>
      <sz val="10"/>
      <name val="Cambria"/>
      <family val="2"/>
      <scheme val="major"/>
    </font>
    <font>
      <sz val="10"/>
      <color theme="1"/>
      <name val="Cambria"/>
      <family val="2"/>
      <scheme val="major"/>
    </font>
    <font>
      <b/>
      <sz val="9"/>
      <color theme="0" tint="-0.499984740745262"/>
      <name val="Arial Narrow"/>
      <family val="2"/>
    </font>
    <font>
      <sz val="16"/>
      <color theme="1"/>
      <name val="Arial Narrow"/>
      <family val="2"/>
    </font>
    <font>
      <sz val="12"/>
      <color theme="1"/>
      <name val="Arial Narrow"/>
      <family val="2"/>
    </font>
    <font>
      <sz val="9"/>
      <color theme="1"/>
      <name val="Arial Narrow"/>
      <family val="2"/>
    </font>
    <font>
      <sz val="14"/>
      <color theme="1"/>
      <name val="Arial Narrow"/>
      <family val="2"/>
    </font>
    <font>
      <b/>
      <sz val="12"/>
      <color theme="1"/>
      <name val="Arial Narrow"/>
      <family val="2"/>
    </font>
    <font>
      <b/>
      <sz val="14"/>
      <color theme="1"/>
      <name val="Arial Narrow"/>
      <family val="2"/>
    </font>
    <font>
      <b/>
      <sz val="9"/>
      <color theme="1"/>
      <name val="Arial Narrow"/>
      <family val="2"/>
    </font>
    <font>
      <sz val="12"/>
      <color theme="1"/>
      <name val="Calibri"/>
      <family val="2"/>
      <scheme val="minor"/>
    </font>
    <font>
      <sz val="8"/>
      <color theme="1"/>
      <name val="Calibri"/>
      <family val="2"/>
      <scheme val="minor"/>
    </font>
    <font>
      <b/>
      <sz val="13"/>
      <color theme="1"/>
      <name val="Arial Narrow"/>
      <family val="2"/>
    </font>
    <font>
      <b/>
      <sz val="10"/>
      <color theme="1"/>
      <name val="Calibri"/>
      <family val="2"/>
      <scheme val="minor"/>
    </font>
    <font>
      <sz val="10"/>
      <color theme="1"/>
      <name val="Calibri"/>
      <family val="2"/>
      <scheme val="minor"/>
    </font>
    <font>
      <sz val="10"/>
      <name val="Calibri"/>
      <family val="2"/>
      <scheme val="minor"/>
    </font>
    <font>
      <b/>
      <sz val="9"/>
      <color theme="1"/>
      <name val="Calibri"/>
      <family val="2"/>
      <scheme val="minor"/>
    </font>
    <font>
      <sz val="9"/>
      <color theme="1"/>
      <name val="Calibri"/>
      <family val="2"/>
      <scheme val="minor"/>
    </font>
    <font>
      <sz val="9"/>
      <name val="Calibri"/>
      <family val="2"/>
      <scheme val="minor"/>
    </font>
    <font>
      <sz val="10"/>
      <color rgb="FF000000"/>
      <name val="Arial Narrow"/>
      <family val="2"/>
    </font>
    <font>
      <b/>
      <sz val="18"/>
      <color theme="1"/>
      <name val="Calibri"/>
      <family val="2"/>
      <scheme val="minor"/>
    </font>
    <font>
      <b/>
      <sz val="10"/>
      <color theme="1"/>
      <name val="Arial Narrow"/>
      <family val="2"/>
    </font>
    <font>
      <sz val="13"/>
      <color theme="1"/>
      <name val="Arial Narrow"/>
      <family val="2"/>
    </font>
    <font>
      <b/>
      <sz val="14"/>
      <color theme="0"/>
      <name val="Arial Narrow"/>
      <family val="2"/>
    </font>
    <font>
      <sz val="14"/>
      <name val="Cambria"/>
      <family val="2"/>
      <scheme val="major"/>
    </font>
    <font>
      <b/>
      <sz val="16"/>
      <color rgb="FF000000"/>
      <name val="Arial Narrow"/>
      <family val="2"/>
    </font>
    <font>
      <sz val="14"/>
      <color rgb="FF000000"/>
      <name val="Arial Narrow"/>
      <family val="2"/>
    </font>
    <font>
      <sz val="12"/>
      <color rgb="FF000000"/>
      <name val="Arial Narrow"/>
      <family val="2"/>
    </font>
    <font>
      <b/>
      <sz val="14"/>
      <color theme="1"/>
      <name val="Calibri"/>
      <family val="2"/>
      <scheme val="minor"/>
    </font>
    <font>
      <sz val="11"/>
      <color rgb="FF000000"/>
      <name val="Arial Narrow"/>
      <family val="2"/>
    </font>
    <font>
      <b/>
      <sz val="10"/>
      <color theme="0"/>
      <name val="Cambria"/>
      <family val="2"/>
      <scheme val="major"/>
    </font>
    <font>
      <b/>
      <sz val="20"/>
      <color theme="1"/>
      <name val="Calibri"/>
      <family val="2"/>
      <scheme val="minor"/>
    </font>
    <font>
      <b/>
      <sz val="14"/>
      <color theme="0"/>
      <name val="Arial"/>
      <family val="2"/>
    </font>
    <font>
      <b/>
      <sz val="14"/>
      <name val="Arial"/>
      <family val="2"/>
    </font>
    <font>
      <sz val="16"/>
      <name val="Arial Narrow"/>
      <family val="2"/>
    </font>
    <font>
      <sz val="11"/>
      <color theme="0"/>
      <name val="Calibri"/>
      <family val="2"/>
      <scheme val="minor"/>
    </font>
    <font>
      <sz val="11"/>
      <name val="Arial Narrow"/>
      <family val="2"/>
    </font>
    <font>
      <b/>
      <sz val="24"/>
      <name val="Arial Narrow"/>
      <family val="2"/>
    </font>
    <font>
      <b/>
      <sz val="20"/>
      <color rgb="FF000000"/>
      <name val="Arial Narrow"/>
      <family val="2"/>
    </font>
    <font>
      <b/>
      <sz val="22"/>
      <color theme="1"/>
      <name val="Arial"/>
      <family val="2"/>
    </font>
    <font>
      <sz val="9"/>
      <name val="Arial Narrow "/>
    </font>
    <font>
      <b/>
      <sz val="9"/>
      <name val="Arial Narrow "/>
    </font>
    <font>
      <b/>
      <sz val="9"/>
      <color theme="0" tint="-0.499984740745262"/>
      <name val="Arial Narrow "/>
    </font>
    <font>
      <sz val="9"/>
      <color theme="1"/>
      <name val="Arial Narrow "/>
    </font>
    <font>
      <b/>
      <sz val="12"/>
      <name val="Arial Narrow"/>
      <family val="2"/>
    </font>
    <font>
      <b/>
      <sz val="14"/>
      <name val="Arial Narrow"/>
      <family val="2"/>
    </font>
    <font>
      <b/>
      <sz val="16"/>
      <name val="Arial Narrow "/>
    </font>
    <font>
      <b/>
      <sz val="14"/>
      <color theme="1"/>
      <name val="Arial Narrow "/>
    </font>
    <font>
      <b/>
      <sz val="12"/>
      <color theme="1"/>
      <name val="Arial Narrow "/>
    </font>
    <font>
      <b/>
      <sz val="12"/>
      <name val="Arial Narrow "/>
    </font>
    <font>
      <b/>
      <sz val="12"/>
      <color rgb="FFFF0000"/>
      <name val="Arial Narrow"/>
      <family val="2"/>
    </font>
    <font>
      <b/>
      <sz val="20"/>
      <name val="Arial"/>
      <family val="2"/>
    </font>
    <font>
      <sz val="10"/>
      <color theme="1"/>
      <name val="Arial Narrow "/>
    </font>
    <font>
      <sz val="12"/>
      <color theme="1"/>
      <name val="Arial Narrow "/>
    </font>
    <font>
      <sz val="10"/>
      <color rgb="FF000000"/>
      <name val="Arial Narrow "/>
    </font>
    <font>
      <vertAlign val="superscript"/>
      <sz val="10"/>
      <color theme="1"/>
      <name val="Arial Narrow"/>
      <family val="2"/>
    </font>
    <font>
      <b/>
      <sz val="18"/>
      <color theme="1"/>
      <name val="Arial Narrow"/>
      <family val="2"/>
    </font>
    <font>
      <b/>
      <sz val="10"/>
      <color rgb="FF000000"/>
      <name val="Arial Narrow"/>
      <family val="2"/>
    </font>
    <font>
      <b/>
      <sz val="10"/>
      <color theme="1"/>
      <name val="Arial Narrow "/>
    </font>
    <font>
      <b/>
      <sz val="12"/>
      <name val="Arial"/>
      <family val="2"/>
    </font>
  </fonts>
  <fills count="13">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B05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7" tint="0.79998168889431442"/>
        <bgColor indexed="64"/>
      </patternFill>
    </fill>
    <fill>
      <patternFill patternType="solid">
        <fgColor rgb="FFFFFFFF"/>
        <bgColor indexed="64"/>
      </patternFill>
    </fill>
    <fill>
      <patternFill patternType="solid">
        <fgColor theme="0" tint="-4.9989318521683403E-2"/>
        <bgColor rgb="FF000000"/>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right/>
      <top/>
      <bottom style="medium">
        <color theme="0" tint="-0.499984740745262"/>
      </bottom>
      <diagonal/>
    </border>
    <border>
      <left style="thin">
        <color rgb="FFC00000"/>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s>
  <cellStyleXfs count="6">
    <xf numFmtId="0" fontId="0" fillId="0" borderId="0"/>
    <xf numFmtId="43" fontId="16" fillId="0" borderId="0" applyFont="0" applyFill="0" applyBorder="0" applyAlignment="0" applyProtection="0"/>
    <xf numFmtId="44" fontId="16" fillId="0" borderId="0" applyFont="0" applyFill="0" applyBorder="0" applyAlignment="0" applyProtection="0"/>
    <xf numFmtId="9" fontId="16" fillId="0" borderId="0" applyFont="0" applyFill="0" applyBorder="0" applyAlignment="0" applyProtection="0"/>
    <xf numFmtId="0" fontId="4" fillId="0" borderId="0">
      <alignment wrapText="1"/>
    </xf>
    <xf numFmtId="44" fontId="16" fillId="0" borderId="0" applyFont="0" applyFill="0" applyBorder="0" applyAlignment="0" applyProtection="0"/>
  </cellStyleXfs>
  <cellXfs count="673">
    <xf numFmtId="0" fontId="0" fillId="0" borderId="0" xfId="0"/>
    <xf numFmtId="0" fontId="18" fillId="0" borderId="0" xfId="0" applyFont="1" applyFill="1" applyBorder="1" applyAlignment="1"/>
    <xf numFmtId="43" fontId="16" fillId="0" borderId="0" xfId="1" applyFont="1"/>
    <xf numFmtId="0" fontId="23" fillId="0" borderId="0" xfId="0" applyFont="1"/>
    <xf numFmtId="0" fontId="0" fillId="0" borderId="0" xfId="0" applyAlignment="1">
      <alignment horizontal="center"/>
    </xf>
    <xf numFmtId="43" fontId="18" fillId="0" borderId="0" xfId="1" applyFont="1" applyFill="1" applyBorder="1" applyAlignment="1"/>
    <xf numFmtId="43" fontId="1" fillId="0" borderId="0" xfId="1" applyFont="1" applyFill="1" applyBorder="1" applyAlignment="1">
      <alignment horizontal="center" vertical="center"/>
    </xf>
    <xf numFmtId="43" fontId="20" fillId="0" borderId="0" xfId="1" applyFont="1" applyFill="1" applyBorder="1" applyAlignment="1">
      <alignment horizontal="center"/>
    </xf>
    <xf numFmtId="0" fontId="21" fillId="0" borderId="49" xfId="0" applyFont="1" applyFill="1" applyBorder="1" applyAlignment="1">
      <alignment horizontal="center"/>
    </xf>
    <xf numFmtId="43" fontId="21" fillId="0" borderId="0" xfId="1" applyFont="1" applyFill="1" applyBorder="1" applyAlignment="1">
      <alignment horizontal="center"/>
    </xf>
    <xf numFmtId="0" fontId="24" fillId="0" borderId="0" xfId="0" applyFont="1" applyFill="1" applyAlignment="1">
      <alignment horizontal="left" vertical="center"/>
    </xf>
    <xf numFmtId="0" fontId="24" fillId="0" borderId="0" xfId="0" applyFont="1" applyFill="1" applyAlignment="1">
      <alignment horizontal="center" vertical="center"/>
    </xf>
    <xf numFmtId="43" fontId="24" fillId="0" borderId="0" xfId="1" applyFont="1" applyFill="1" applyAlignment="1">
      <alignment horizontal="center" vertical="center"/>
    </xf>
    <xf numFmtId="0" fontId="25" fillId="0" borderId="0" xfId="0" applyFont="1" applyAlignment="1">
      <alignment vertical="center"/>
    </xf>
    <xf numFmtId="43" fontId="26" fillId="3" borderId="0" xfId="1" applyFont="1" applyFill="1" applyBorder="1" applyAlignment="1">
      <alignment horizontal="center" vertical="center"/>
    </xf>
    <xf numFmtId="43" fontId="27" fillId="0" borderId="0" xfId="1" applyFont="1" applyFill="1" applyBorder="1" applyAlignment="1">
      <alignment horizontal="left" vertical="center" wrapText="1"/>
    </xf>
    <xf numFmtId="43" fontId="7" fillId="0" borderId="0" xfId="1"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pplyBorder="1" applyAlignment="1">
      <alignment vertical="center" wrapText="1"/>
    </xf>
    <xf numFmtId="43" fontId="27" fillId="0" borderId="0" xfId="1" applyFont="1" applyFill="1" applyBorder="1" applyAlignment="1">
      <alignment vertical="center" wrapText="1"/>
    </xf>
    <xf numFmtId="43" fontId="28" fillId="3" borderId="0" xfId="1" applyFont="1" applyFill="1" applyBorder="1" applyAlignment="1">
      <alignment horizontal="center" vertical="center"/>
    </xf>
    <xf numFmtId="0" fontId="29" fillId="0" borderId="0" xfId="0" applyFont="1"/>
    <xf numFmtId="43" fontId="30" fillId="0" borderId="0" xfId="1" applyFont="1" applyFill="1" applyBorder="1" applyAlignment="1">
      <alignment horizontal="center" vertical="center"/>
    </xf>
    <xf numFmtId="43" fontId="31" fillId="0" borderId="0" xfId="1" applyFont="1" applyFill="1" applyBorder="1" applyAlignment="1">
      <alignment horizontal="left" vertical="center"/>
    </xf>
    <xf numFmtId="0" fontId="32" fillId="0" borderId="0" xfId="0" applyFont="1" applyFill="1" applyBorder="1" applyAlignment="1">
      <alignment horizontal="center" vertical="center"/>
    </xf>
    <xf numFmtId="0" fontId="32" fillId="0" borderId="0" xfId="0" applyFont="1" applyFill="1" applyBorder="1" applyAlignment="1">
      <alignment horizontal="justify" vertical="center" wrapText="1"/>
    </xf>
    <xf numFmtId="0" fontId="33" fillId="0" borderId="0" xfId="0" applyFont="1" applyFill="1" applyBorder="1" applyAlignment="1">
      <alignment horizontal="center" vertical="center"/>
    </xf>
    <xf numFmtId="43" fontId="34" fillId="0" borderId="0" xfId="1" applyFont="1" applyFill="1" applyBorder="1" applyAlignment="1">
      <alignment horizontal="center" vertical="center" wrapText="1"/>
    </xf>
    <xf numFmtId="0" fontId="17" fillId="0" borderId="0" xfId="0" applyFont="1"/>
    <xf numFmtId="0" fontId="5" fillId="0" borderId="1" xfId="0" applyFont="1" applyFill="1" applyBorder="1" applyAlignment="1">
      <alignment horizontal="center" vertical="center" wrapText="1"/>
    </xf>
    <xf numFmtId="3" fontId="35" fillId="5" borderId="1" xfId="0" applyNumberFormat="1" applyFont="1" applyFill="1" applyBorder="1" applyAlignment="1">
      <alignment horizontal="center" vertical="center" shrinkToFit="1"/>
    </xf>
    <xf numFmtId="3" fontId="36" fillId="0" borderId="2" xfId="0" applyNumberFormat="1" applyFont="1" applyFill="1" applyBorder="1" applyAlignment="1">
      <alignment horizontal="center" vertical="center" wrapText="1"/>
    </xf>
    <xf numFmtId="43" fontId="7" fillId="0" borderId="0" xfId="1" applyFont="1" applyFill="1" applyBorder="1" applyAlignment="1">
      <alignment horizontal="center" vertical="center" wrapText="1"/>
    </xf>
    <xf numFmtId="4" fontId="36" fillId="0" borderId="1" xfId="1" applyNumberFormat="1" applyFont="1" applyFill="1" applyBorder="1" applyAlignment="1">
      <alignment horizontal="center" vertical="center" shrinkToFit="1"/>
    </xf>
    <xf numFmtId="164" fontId="0" fillId="0" borderId="0" xfId="0" applyNumberFormat="1"/>
    <xf numFmtId="0" fontId="22" fillId="0" borderId="1" xfId="0" applyFont="1" applyFill="1" applyBorder="1" applyAlignment="1">
      <alignment horizontal="center" vertical="center" wrapText="1"/>
    </xf>
    <xf numFmtId="49" fontId="37" fillId="0" borderId="1" xfId="1" applyNumberFormat="1" applyFont="1" applyFill="1" applyBorder="1" applyAlignment="1">
      <alignment vertical="center"/>
    </xf>
    <xf numFmtId="49" fontId="37" fillId="0" borderId="1" xfId="1" applyNumberFormat="1" applyFont="1" applyFill="1" applyBorder="1" applyAlignment="1">
      <alignment horizontal="center" vertical="center"/>
    </xf>
    <xf numFmtId="3" fontId="38" fillId="0" borderId="1" xfId="1" applyNumberFormat="1" applyFont="1" applyFill="1" applyBorder="1" applyAlignment="1">
      <alignment horizontal="center" vertical="center" wrapText="1"/>
    </xf>
    <xf numFmtId="3" fontId="36" fillId="0" borderId="1" xfId="0" applyNumberFormat="1" applyFont="1" applyFill="1" applyBorder="1" applyAlignment="1">
      <alignment horizontal="center" vertical="center" wrapText="1"/>
    </xf>
    <xf numFmtId="4" fontId="39" fillId="0" borderId="1" xfId="1" applyNumberFormat="1" applyFont="1" applyBorder="1" applyAlignment="1">
      <alignment horizontal="center" vertical="center" shrinkToFit="1"/>
    </xf>
    <xf numFmtId="49" fontId="35" fillId="0" borderId="1" xfId="1" applyNumberFormat="1" applyFont="1" applyFill="1" applyBorder="1" applyAlignment="1">
      <alignment horizontal="center" vertical="center"/>
    </xf>
    <xf numFmtId="3" fontId="38" fillId="0" borderId="1" xfId="1" applyNumberFormat="1" applyFont="1" applyBorder="1" applyAlignment="1">
      <alignment horizontal="center" vertical="center" wrapText="1"/>
    </xf>
    <xf numFmtId="43" fontId="35" fillId="0" borderId="1" xfId="1" applyFont="1" applyFill="1" applyBorder="1" applyAlignment="1">
      <alignment horizontal="center" vertical="center"/>
    </xf>
    <xf numFmtId="49" fontId="35" fillId="0" borderId="1" xfId="0" applyNumberFormat="1" applyFont="1" applyFill="1" applyBorder="1" applyAlignment="1">
      <alignment horizontal="center" vertical="center"/>
    </xf>
    <xf numFmtId="0" fontId="35" fillId="0" borderId="1" xfId="1" applyNumberFormat="1" applyFont="1" applyFill="1" applyBorder="1" applyAlignment="1">
      <alignment horizontal="center" vertical="center"/>
    </xf>
    <xf numFmtId="3" fontId="37" fillId="0" borderId="1" xfId="1" applyNumberFormat="1" applyFont="1" applyBorder="1" applyAlignment="1">
      <alignment horizontal="center" vertical="center" wrapText="1"/>
    </xf>
    <xf numFmtId="0" fontId="22" fillId="0" borderId="3" xfId="0" applyFont="1" applyFill="1" applyBorder="1" applyAlignment="1">
      <alignment horizontal="center" vertical="center" wrapText="1"/>
    </xf>
    <xf numFmtId="4" fontId="39" fillId="0" borderId="3" xfId="1" applyNumberFormat="1" applyFont="1" applyBorder="1" applyAlignment="1">
      <alignment horizontal="center" vertical="center" shrinkToFit="1"/>
    </xf>
    <xf numFmtId="3" fontId="37" fillId="0" borderId="3" xfId="1" applyNumberFormat="1" applyFont="1" applyBorder="1" applyAlignment="1">
      <alignment horizontal="center" vertical="center" wrapText="1"/>
    </xf>
    <xf numFmtId="4" fontId="36" fillId="0" borderId="3" xfId="1" applyNumberFormat="1" applyFont="1" applyFill="1" applyBorder="1" applyAlignment="1">
      <alignment horizontal="center" vertical="center" shrinkToFit="1"/>
    </xf>
    <xf numFmtId="3" fontId="40" fillId="0" borderId="4" xfId="1" applyNumberFormat="1" applyFont="1" applyBorder="1" applyAlignment="1">
      <alignment horizontal="center" vertical="center"/>
    </xf>
    <xf numFmtId="43" fontId="10" fillId="0" borderId="0" xfId="1" applyFont="1" applyFill="1" applyBorder="1" applyAlignment="1">
      <alignment horizontal="center" vertical="center" wrapText="1"/>
    </xf>
    <xf numFmtId="0" fontId="41" fillId="0" borderId="5" xfId="0" applyFont="1" applyBorder="1" applyAlignment="1">
      <alignment horizontal="center" vertical="center" wrapText="1"/>
    </xf>
    <xf numFmtId="4" fontId="40" fillId="0" borderId="5" xfId="1" applyNumberFormat="1" applyFont="1" applyBorder="1" applyAlignment="1">
      <alignment horizontal="center" vertical="center" shrinkToFit="1"/>
    </xf>
    <xf numFmtId="0" fontId="41" fillId="0" borderId="2" xfId="0" applyFont="1" applyBorder="1" applyAlignment="1">
      <alignment horizontal="center" vertical="center" wrapText="1"/>
    </xf>
    <xf numFmtId="49" fontId="40" fillId="0" borderId="2" xfId="1" applyNumberFormat="1" applyFont="1" applyBorder="1" applyAlignment="1">
      <alignment horizontal="center" vertical="center"/>
    </xf>
    <xf numFmtId="43" fontId="37" fillId="0" borderId="2" xfId="1" applyFont="1" applyFill="1" applyBorder="1" applyAlignment="1">
      <alignment horizontal="center" vertical="center" wrapText="1"/>
    </xf>
    <xf numFmtId="3" fontId="40" fillId="0" borderId="2" xfId="1" applyNumberFormat="1" applyFont="1" applyBorder="1" applyAlignment="1">
      <alignment horizontal="center" vertical="center"/>
    </xf>
    <xf numFmtId="4" fontId="36" fillId="0" borderId="5" xfId="1" applyNumberFormat="1" applyFont="1" applyFill="1" applyBorder="1" applyAlignment="1">
      <alignment horizontal="center" vertical="center" shrinkToFit="1"/>
    </xf>
    <xf numFmtId="0" fontId="42" fillId="0" borderId="0" xfId="0" applyFont="1"/>
    <xf numFmtId="43" fontId="43" fillId="0" borderId="0" xfId="1" applyFont="1"/>
    <xf numFmtId="43" fontId="43" fillId="0" borderId="0" xfId="0" applyNumberFormat="1" applyFont="1"/>
    <xf numFmtId="0" fontId="43" fillId="0" borderId="0" xfId="0" applyFont="1"/>
    <xf numFmtId="164" fontId="43" fillId="0" borderId="0" xfId="0" applyNumberFormat="1" applyFont="1"/>
    <xf numFmtId="43" fontId="0" fillId="0" borderId="0" xfId="0" applyNumberFormat="1"/>
    <xf numFmtId="0" fontId="37" fillId="0" borderId="6" xfId="0" applyFont="1" applyBorder="1" applyAlignment="1">
      <alignment horizontal="center" vertical="center" wrapText="1"/>
    </xf>
    <xf numFmtId="0" fontId="18" fillId="0" borderId="0" xfId="0" applyFont="1" applyFill="1" applyBorder="1" applyAlignment="1">
      <alignment horizontal="center"/>
    </xf>
    <xf numFmtId="0" fontId="22" fillId="5" borderId="2"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36" fillId="0" borderId="1" xfId="1" applyNumberFormat="1" applyFont="1" applyFill="1" applyBorder="1" applyAlignment="1">
      <alignment horizontal="center" vertical="center" shrinkToFit="1"/>
    </xf>
    <xf numFmtId="0" fontId="22" fillId="5"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0" xfId="0" applyAlignment="1">
      <alignment horizontal="center"/>
    </xf>
    <xf numFmtId="3" fontId="38" fillId="0" borderId="1" xfId="1" applyNumberFormat="1" applyFont="1" applyFill="1" applyBorder="1" applyAlignment="1">
      <alignment horizontal="center" vertical="center" wrapText="1"/>
    </xf>
    <xf numFmtId="0" fontId="0" fillId="0" borderId="2" xfId="0" applyBorder="1" applyAlignment="1">
      <alignment horizontal="center"/>
    </xf>
    <xf numFmtId="0" fontId="0" fillId="0" borderId="1" xfId="0" applyBorder="1" applyAlignment="1">
      <alignment horizontal="center" wrapText="1"/>
    </xf>
    <xf numFmtId="43" fontId="16" fillId="0" borderId="1" xfId="1" applyFont="1" applyBorder="1" applyAlignment="1">
      <alignment horizontal="center"/>
    </xf>
    <xf numFmtId="43" fontId="16" fillId="0" borderId="3" xfId="1" applyFont="1" applyBorder="1" applyAlignment="1">
      <alignment horizontal="center"/>
    </xf>
    <xf numFmtId="0" fontId="0" fillId="6" borderId="1" xfId="0" applyFill="1" applyBorder="1" applyAlignment="1">
      <alignment horizontal="center"/>
    </xf>
    <xf numFmtId="0" fontId="0" fillId="7" borderId="1" xfId="0" applyFill="1" applyBorder="1" applyAlignment="1">
      <alignment horizontal="center"/>
    </xf>
    <xf numFmtId="4" fontId="39" fillId="5" borderId="1" xfId="0" applyNumberFormat="1" applyFont="1" applyFill="1" applyBorder="1" applyAlignment="1">
      <alignment horizontal="center" vertical="center" shrinkToFit="1"/>
    </xf>
    <xf numFmtId="0" fontId="0" fillId="0" borderId="2" xfId="0" applyBorder="1" applyAlignment="1">
      <alignment horizontal="center" wrapText="1"/>
    </xf>
    <xf numFmtId="43" fontId="16" fillId="0" borderId="7" xfId="1" applyFont="1" applyBorder="1" applyAlignment="1">
      <alignment horizontal="center"/>
    </xf>
    <xf numFmtId="0" fontId="17" fillId="0" borderId="8" xfId="0" applyFont="1" applyBorder="1" applyAlignment="1">
      <alignment horizontal="center"/>
    </xf>
    <xf numFmtId="4" fontId="44" fillId="5" borderId="1" xfId="0" applyNumberFormat="1" applyFont="1" applyFill="1" applyBorder="1" applyAlignment="1">
      <alignment horizontal="center" vertical="center" shrinkToFit="1"/>
    </xf>
    <xf numFmtId="43" fontId="16" fillId="6" borderId="2" xfId="1" applyFont="1" applyFill="1" applyBorder="1" applyAlignment="1">
      <alignment horizontal="center"/>
    </xf>
    <xf numFmtId="43" fontId="16" fillId="6" borderId="1" xfId="1" applyFont="1" applyFill="1" applyBorder="1"/>
    <xf numFmtId="0" fontId="0" fillId="0" borderId="0" xfId="0" applyFont="1" applyFill="1"/>
    <xf numFmtId="0" fontId="45" fillId="8" borderId="8" xfId="0" applyFont="1" applyFill="1" applyBorder="1" applyAlignment="1">
      <alignment horizontal="center" wrapText="1"/>
    </xf>
    <xf numFmtId="43" fontId="45" fillId="8" borderId="8" xfId="1" applyFont="1" applyFill="1" applyBorder="1" applyAlignment="1">
      <alignment horizontal="center" wrapText="1"/>
    </xf>
    <xf numFmtId="0" fontId="46" fillId="0" borderId="1" xfId="0" applyFont="1" applyFill="1" applyBorder="1" applyAlignment="1">
      <alignment horizontal="center" wrapText="1"/>
    </xf>
    <xf numFmtId="0" fontId="46" fillId="0" borderId="1" xfId="0" applyFont="1" applyFill="1" applyBorder="1"/>
    <xf numFmtId="0" fontId="46" fillId="0" borderId="1" xfId="0" applyFont="1" applyFill="1" applyBorder="1" applyAlignment="1">
      <alignment horizontal="center"/>
    </xf>
    <xf numFmtId="0" fontId="46" fillId="0" borderId="1" xfId="0" applyFont="1" applyFill="1" applyBorder="1" applyAlignment="1">
      <alignment wrapText="1"/>
    </xf>
    <xf numFmtId="43" fontId="46" fillId="0" borderId="1" xfId="1" applyFont="1" applyFill="1" applyBorder="1" applyAlignment="1">
      <alignment wrapText="1"/>
    </xf>
    <xf numFmtId="43" fontId="46" fillId="0" borderId="2" xfId="1" applyFont="1" applyFill="1" applyBorder="1" applyAlignment="1">
      <alignment wrapText="1"/>
    </xf>
    <xf numFmtId="0" fontId="46" fillId="0" borderId="0" xfId="0" applyFont="1" applyFill="1"/>
    <xf numFmtId="43" fontId="46" fillId="0" borderId="1" xfId="1" applyFont="1" applyFill="1" applyBorder="1"/>
    <xf numFmtId="0" fontId="46" fillId="0" borderId="1" xfId="0" applyFont="1" applyFill="1" applyBorder="1" applyAlignment="1">
      <alignment horizontal="left" wrapText="1"/>
    </xf>
    <xf numFmtId="43" fontId="16" fillId="0" borderId="1" xfId="1" applyFont="1" applyFill="1" applyBorder="1"/>
    <xf numFmtId="0" fontId="47" fillId="0" borderId="1" xfId="0" applyFont="1" applyFill="1" applyBorder="1" applyAlignment="1">
      <alignment horizontal="center" wrapText="1"/>
    </xf>
    <xf numFmtId="0" fontId="47" fillId="0" borderId="1" xfId="0" applyFont="1" applyFill="1" applyBorder="1" applyAlignment="1">
      <alignment wrapText="1"/>
    </xf>
    <xf numFmtId="0" fontId="47" fillId="0" borderId="1" xfId="0" applyFont="1" applyFill="1" applyBorder="1" applyAlignment="1">
      <alignment horizontal="left" wrapText="1"/>
    </xf>
    <xf numFmtId="0" fontId="46" fillId="0" borderId="3" xfId="0" applyFont="1" applyFill="1" applyBorder="1" applyAlignment="1">
      <alignment horizontal="center"/>
    </xf>
    <xf numFmtId="0" fontId="46" fillId="0" borderId="3" xfId="0" applyFont="1" applyFill="1" applyBorder="1"/>
    <xf numFmtId="0" fontId="46" fillId="0" borderId="3" xfId="0" applyFont="1" applyFill="1" applyBorder="1" applyAlignment="1">
      <alignment horizontal="center" wrapText="1"/>
    </xf>
    <xf numFmtId="0" fontId="46" fillId="0" borderId="3" xfId="0" applyFont="1" applyFill="1" applyBorder="1" applyAlignment="1">
      <alignment wrapText="1"/>
    </xf>
    <xf numFmtId="43" fontId="46" fillId="0" borderId="3" xfId="1" applyFont="1" applyFill="1" applyBorder="1" applyAlignment="1">
      <alignment wrapText="1"/>
    </xf>
    <xf numFmtId="44" fontId="45" fillId="0" borderId="9" xfId="2" applyFont="1" applyFill="1" applyBorder="1" applyAlignment="1">
      <alignment horizontal="center" wrapText="1"/>
    </xf>
    <xf numFmtId="44" fontId="17" fillId="0" borderId="8" xfId="2" applyFont="1" applyBorder="1"/>
    <xf numFmtId="43" fontId="16" fillId="6" borderId="7" xfId="1" applyFont="1" applyFill="1" applyBorder="1" applyAlignment="1">
      <alignment horizontal="center"/>
    </xf>
    <xf numFmtId="43" fontId="16" fillId="6" borderId="3" xfId="1" applyFont="1" applyFill="1" applyBorder="1"/>
    <xf numFmtId="44" fontId="0" fillId="0" borderId="0" xfId="0" applyNumberFormat="1"/>
    <xf numFmtId="4" fontId="39" fillId="5" borderId="1" xfId="1" applyNumberFormat="1" applyFont="1" applyFill="1" applyBorder="1" applyAlignment="1">
      <alignment horizontal="center" vertical="center" shrinkToFit="1"/>
    </xf>
    <xf numFmtId="0" fontId="36" fillId="5" borderId="1" xfId="1" applyNumberFormat="1" applyFont="1" applyFill="1" applyBorder="1" applyAlignment="1">
      <alignment horizontal="center" vertical="center" shrinkToFit="1"/>
    </xf>
    <xf numFmtId="4" fontId="44" fillId="5" borderId="1" xfId="1" applyNumberFormat="1" applyFont="1" applyFill="1" applyBorder="1" applyAlignment="1">
      <alignment horizontal="center" vertical="center" shrinkToFit="1"/>
    </xf>
    <xf numFmtId="0" fontId="41" fillId="5" borderId="4" xfId="0" applyFont="1" applyFill="1" applyBorder="1" applyAlignment="1">
      <alignment horizontal="center" vertical="center" wrapText="1"/>
    </xf>
    <xf numFmtId="3" fontId="40" fillId="5" borderId="4" xfId="1" applyNumberFormat="1" applyFont="1" applyFill="1" applyBorder="1" applyAlignment="1">
      <alignment horizontal="center" vertical="center"/>
    </xf>
    <xf numFmtId="0" fontId="41" fillId="5" borderId="5" xfId="0" applyFont="1" applyFill="1" applyBorder="1" applyAlignment="1">
      <alignment horizontal="center" vertical="center" wrapText="1"/>
    </xf>
    <xf numFmtId="4" fontId="40" fillId="5" borderId="5" xfId="1" applyNumberFormat="1" applyFont="1" applyFill="1" applyBorder="1" applyAlignment="1">
      <alignment horizontal="center" vertical="center" shrinkToFit="1"/>
    </xf>
    <xf numFmtId="0" fontId="0" fillId="0" borderId="0" xfId="0" applyAlignment="1">
      <alignment horizontal="center"/>
    </xf>
    <xf numFmtId="0" fontId="0" fillId="0" borderId="0" xfId="0" applyAlignment="1">
      <alignment horizontal="center" vertical="center"/>
    </xf>
    <xf numFmtId="0" fontId="17" fillId="0" borderId="10" xfId="0" applyFont="1" applyBorder="1" applyAlignment="1">
      <alignment horizontal="center"/>
    </xf>
    <xf numFmtId="0" fontId="17" fillId="0" borderId="11" xfId="0" applyFont="1" applyBorder="1"/>
    <xf numFmtId="0" fontId="48" fillId="0" borderId="11" xfId="0" applyFont="1" applyBorder="1" applyAlignment="1">
      <alignment horizontal="center"/>
    </xf>
    <xf numFmtId="0" fontId="48" fillId="0" borderId="12" xfId="0" applyFont="1" applyBorder="1" applyAlignment="1">
      <alignment horizontal="center"/>
    </xf>
    <xf numFmtId="0" fontId="48" fillId="0" borderId="13" xfId="0" applyFont="1" applyBorder="1" applyAlignment="1">
      <alignment horizontal="center"/>
    </xf>
    <xf numFmtId="0" fontId="48" fillId="0" borderId="4" xfId="0" applyFont="1" applyBorder="1" applyAlignment="1">
      <alignment horizontal="center"/>
    </xf>
    <xf numFmtId="0" fontId="48" fillId="0" borderId="14" xfId="0" applyFont="1" applyBorder="1" applyAlignment="1">
      <alignment horizontal="center"/>
    </xf>
    <xf numFmtId="0" fontId="17" fillId="0" borderId="15" xfId="0" applyFont="1" applyBorder="1" applyAlignment="1">
      <alignment horizontal="center"/>
    </xf>
    <xf numFmtId="0" fontId="48" fillId="0" borderId="2" xfId="0" applyFont="1" applyBorder="1" applyAlignment="1">
      <alignment horizontal="center"/>
    </xf>
    <xf numFmtId="0" fontId="17" fillId="0" borderId="0" xfId="0" applyFont="1" applyAlignment="1">
      <alignment horizontal="center"/>
    </xf>
    <xf numFmtId="0" fontId="17" fillId="0" borderId="16" xfId="0" applyFont="1" applyBorder="1" applyAlignment="1">
      <alignment horizontal="center"/>
    </xf>
    <xf numFmtId="0" fontId="49" fillId="0" borderId="1" xfId="0" applyFont="1" applyBorder="1" applyAlignment="1">
      <alignment horizontal="center"/>
    </xf>
    <xf numFmtId="43" fontId="49" fillId="0" borderId="1" xfId="1" applyFont="1" applyBorder="1"/>
    <xf numFmtId="0" fontId="49" fillId="0" borderId="16" xfId="0" applyFont="1" applyBorder="1"/>
    <xf numFmtId="0" fontId="49" fillId="0" borderId="1" xfId="0" applyFont="1" applyBorder="1"/>
    <xf numFmtId="0" fontId="49" fillId="0" borderId="17" xfId="0" applyFont="1" applyBorder="1"/>
    <xf numFmtId="43" fontId="49" fillId="6" borderId="1" xfId="1" applyFont="1" applyFill="1" applyBorder="1"/>
    <xf numFmtId="43" fontId="49" fillId="6" borderId="18" xfId="1" applyFont="1" applyFill="1" applyBorder="1"/>
    <xf numFmtId="43" fontId="49" fillId="0" borderId="16" xfId="0" applyNumberFormat="1" applyFont="1" applyBorder="1"/>
    <xf numFmtId="43" fontId="49" fillId="0" borderId="1" xfId="0" applyNumberFormat="1" applyFont="1" applyBorder="1"/>
    <xf numFmtId="0" fontId="49" fillId="0" borderId="1" xfId="0" applyFont="1" applyBorder="1" applyAlignment="1">
      <alignment horizontal="center" wrapText="1"/>
    </xf>
    <xf numFmtId="0" fontId="17" fillId="0" borderId="19" xfId="0" applyFont="1" applyBorder="1" applyAlignment="1">
      <alignment horizontal="center"/>
    </xf>
    <xf numFmtId="0" fontId="49" fillId="0" borderId="5" xfId="0" applyFont="1" applyBorder="1" applyAlignment="1">
      <alignment horizontal="center"/>
    </xf>
    <xf numFmtId="43" fontId="49" fillId="0" borderId="5" xfId="1" applyFont="1" applyBorder="1"/>
    <xf numFmtId="43" fontId="49" fillId="0" borderId="20" xfId="1" applyFont="1" applyBorder="1"/>
    <xf numFmtId="0" fontId="49" fillId="0" borderId="19" xfId="0" applyFont="1" applyBorder="1"/>
    <xf numFmtId="0" fontId="49" fillId="0" borderId="5" xfId="0" applyFont="1" applyBorder="1"/>
    <xf numFmtId="0" fontId="49" fillId="0" borderId="21" xfId="0" applyFont="1" applyBorder="1"/>
    <xf numFmtId="43" fontId="50" fillId="9" borderId="1" xfId="1" applyFont="1" applyFill="1" applyBorder="1"/>
    <xf numFmtId="43" fontId="50" fillId="9" borderId="18" xfId="1" applyFont="1" applyFill="1" applyBorder="1"/>
    <xf numFmtId="43" fontId="49" fillId="9" borderId="1" xfId="1" applyFont="1" applyFill="1" applyBorder="1"/>
    <xf numFmtId="43" fontId="49" fillId="9" borderId="18" xfId="1" applyFont="1" applyFill="1" applyBorder="1"/>
    <xf numFmtId="43" fontId="49" fillId="9" borderId="17" xfId="0" applyNumberFormat="1" applyFont="1" applyFill="1" applyBorder="1"/>
    <xf numFmtId="3" fontId="36" fillId="0" borderId="1" xfId="1" applyNumberFormat="1" applyFont="1" applyFill="1" applyBorder="1" applyAlignment="1">
      <alignment horizontal="center" vertical="center" shrinkToFit="1"/>
    </xf>
    <xf numFmtId="4" fontId="0" fillId="0" borderId="0" xfId="0" applyNumberFormat="1"/>
    <xf numFmtId="0" fontId="0" fillId="0" borderId="16" xfId="0" applyBorder="1" applyAlignment="1">
      <alignment horizontal="center"/>
    </xf>
    <xf numFmtId="0" fontId="0" fillId="0" borderId="19" xfId="0" applyBorder="1" applyAlignment="1">
      <alignment horizontal="center"/>
    </xf>
    <xf numFmtId="0" fontId="0" fillId="0" borderId="15" xfId="0" applyBorder="1" applyAlignment="1">
      <alignment horizontal="center"/>
    </xf>
    <xf numFmtId="0" fontId="0" fillId="0" borderId="1" xfId="0" applyBorder="1" applyAlignment="1">
      <alignment horizontal="center" vertical="center"/>
    </xf>
    <xf numFmtId="0" fontId="0" fillId="0" borderId="22" xfId="0" applyBorder="1" applyAlignment="1">
      <alignment horizontal="center"/>
    </xf>
    <xf numFmtId="0" fontId="0" fillId="0" borderId="17" xfId="0" applyBorder="1" applyAlignment="1">
      <alignment horizontal="center"/>
    </xf>
    <xf numFmtId="0" fontId="0" fillId="0" borderId="5" xfId="0" applyBorder="1" applyAlignment="1">
      <alignment horizontal="center"/>
    </xf>
    <xf numFmtId="0" fontId="0" fillId="0" borderId="21" xfId="0" applyBorder="1" applyAlignment="1">
      <alignment horizontal="center"/>
    </xf>
    <xf numFmtId="0" fontId="42" fillId="0" borderId="11" xfId="0" applyFont="1" applyBorder="1" applyAlignment="1">
      <alignment horizontal="center" vertical="center"/>
    </xf>
    <xf numFmtId="0" fontId="21" fillId="0" borderId="11" xfId="0" applyFont="1" applyBorder="1" applyAlignment="1">
      <alignment horizontal="center" vertical="center"/>
    </xf>
    <xf numFmtId="0" fontId="21" fillId="0" borderId="23" xfId="0" applyFont="1" applyBorder="1" applyAlignment="1">
      <alignment horizontal="center" vertical="center"/>
    </xf>
    <xf numFmtId="0" fontId="0" fillId="0" borderId="16" xfId="0" applyBorder="1" applyAlignment="1">
      <alignment horizontal="center" vertical="center"/>
    </xf>
    <xf numFmtId="3" fontId="22" fillId="4" borderId="2" xfId="0" applyNumberFormat="1" applyFont="1" applyFill="1" applyBorder="1" applyAlignment="1">
      <alignment horizontal="center" vertical="center"/>
    </xf>
    <xf numFmtId="3" fontId="51" fillId="4" borderId="2" xfId="0" applyNumberFormat="1" applyFont="1" applyFill="1" applyBorder="1" applyAlignment="1">
      <alignment horizontal="center" vertical="center" wrapText="1"/>
    </xf>
    <xf numFmtId="3" fontId="22" fillId="0" borderId="1" xfId="0" applyNumberFormat="1" applyFont="1" applyFill="1" applyBorder="1" applyAlignment="1">
      <alignment horizontal="center" vertical="center"/>
    </xf>
    <xf numFmtId="3" fontId="51" fillId="0" borderId="1" xfId="0" applyNumberFormat="1" applyFont="1" applyFill="1" applyBorder="1" applyAlignment="1">
      <alignment horizontal="center" vertical="center" wrapText="1"/>
    </xf>
    <xf numFmtId="3" fontId="22" fillId="4" borderId="1" xfId="0" applyNumberFormat="1" applyFont="1" applyFill="1" applyBorder="1" applyAlignment="1">
      <alignment horizontal="center" vertical="center"/>
    </xf>
    <xf numFmtId="3" fontId="51" fillId="4" borderId="1" xfId="0" applyNumberFormat="1" applyFont="1" applyFill="1" applyBorder="1" applyAlignment="1">
      <alignment horizontal="center" vertical="center" wrapText="1"/>
    </xf>
    <xf numFmtId="3" fontId="22" fillId="0" borderId="5" xfId="0" applyNumberFormat="1" applyFont="1" applyFill="1" applyBorder="1" applyAlignment="1">
      <alignment horizontal="center" vertical="center"/>
    </xf>
    <xf numFmtId="3" fontId="51" fillId="0" borderId="5" xfId="0" applyNumberFormat="1" applyFont="1" applyFill="1" applyBorder="1" applyAlignment="1">
      <alignment horizontal="center" vertical="center" wrapText="1"/>
    </xf>
    <xf numFmtId="3" fontId="39" fillId="5" borderId="22" xfId="0" applyNumberFormat="1" applyFont="1" applyFill="1" applyBorder="1" applyAlignment="1">
      <alignment horizontal="center" vertical="center"/>
    </xf>
    <xf numFmtId="3" fontId="36" fillId="0" borderId="17" xfId="0" applyNumberFormat="1" applyFont="1" applyFill="1" applyBorder="1" applyAlignment="1">
      <alignment horizontal="center" vertical="center"/>
    </xf>
    <xf numFmtId="3" fontId="39" fillId="5" borderId="17" xfId="0" applyNumberFormat="1" applyFont="1" applyFill="1" applyBorder="1" applyAlignment="1">
      <alignment horizontal="center" vertical="center"/>
    </xf>
    <xf numFmtId="3" fontId="36" fillId="0" borderId="21" xfId="0" applyNumberFormat="1" applyFont="1" applyFill="1" applyBorder="1" applyAlignment="1">
      <alignment horizontal="center" vertical="center"/>
    </xf>
    <xf numFmtId="0" fontId="41" fillId="0" borderId="5" xfId="0" applyFont="1" applyBorder="1" applyAlignment="1">
      <alignment horizontal="center" vertical="center" wrapText="1"/>
    </xf>
    <xf numFmtId="0" fontId="22" fillId="0" borderId="1" xfId="0" applyFont="1" applyFill="1" applyBorder="1" applyAlignment="1">
      <alignment horizontal="center" vertical="center" wrapText="1"/>
    </xf>
    <xf numFmtId="3" fontId="22" fillId="0" borderId="1" xfId="1" applyNumberFormat="1" applyFont="1" applyFill="1" applyBorder="1" applyAlignment="1">
      <alignment horizontal="center" vertical="center" wrapText="1"/>
    </xf>
    <xf numFmtId="3" fontId="22" fillId="0" borderId="1" xfId="1" applyNumberFormat="1" applyFont="1" applyBorder="1" applyAlignment="1">
      <alignment horizontal="center" vertical="center" wrapText="1"/>
    </xf>
    <xf numFmtId="3" fontId="22" fillId="0" borderId="3" xfId="1" applyNumberFormat="1" applyFont="1" applyBorder="1" applyAlignment="1">
      <alignment horizontal="center" vertical="center" wrapText="1"/>
    </xf>
    <xf numFmtId="0" fontId="0" fillId="0" borderId="0" xfId="0" applyAlignment="1">
      <alignment horizontal="left"/>
    </xf>
    <xf numFmtId="43" fontId="16" fillId="0" borderId="0" xfId="1" applyFont="1"/>
    <xf numFmtId="1" fontId="36" fillId="0" borderId="1" xfId="1" applyNumberFormat="1" applyFont="1" applyFill="1" applyBorder="1" applyAlignment="1">
      <alignment horizontal="center" vertical="center"/>
    </xf>
    <xf numFmtId="49" fontId="36" fillId="0" borderId="1" xfId="1" applyNumberFormat="1" applyFont="1" applyFill="1" applyBorder="1" applyAlignment="1">
      <alignment horizontal="center" vertical="center"/>
    </xf>
    <xf numFmtId="165" fontId="36" fillId="0" borderId="1" xfId="1" applyNumberFormat="1" applyFont="1" applyFill="1" applyBorder="1" applyAlignment="1">
      <alignment horizontal="center" vertical="center"/>
    </xf>
    <xf numFmtId="0" fontId="36" fillId="0" borderId="1" xfId="1" applyNumberFormat="1" applyFont="1" applyFill="1" applyBorder="1" applyAlignment="1">
      <alignment horizontal="center" vertical="center"/>
    </xf>
    <xf numFmtId="4" fontId="36" fillId="0" borderId="1" xfId="1" applyNumberFormat="1" applyFont="1" applyBorder="1" applyAlignment="1">
      <alignment horizontal="center" vertical="center" shrinkToFit="1"/>
    </xf>
    <xf numFmtId="1" fontId="36" fillId="0" borderId="1" xfId="1" applyNumberFormat="1" applyFont="1" applyBorder="1" applyAlignment="1">
      <alignment horizontal="center" vertical="center" shrinkToFit="1"/>
    </xf>
    <xf numFmtId="3" fontId="36" fillId="0" borderId="1" xfId="1" applyNumberFormat="1" applyFont="1" applyBorder="1" applyAlignment="1">
      <alignment horizontal="center" vertical="center" shrinkToFit="1"/>
    </xf>
    <xf numFmtId="4" fontId="36" fillId="0" borderId="3" xfId="1" applyNumberFormat="1" applyFont="1" applyBorder="1" applyAlignment="1">
      <alignment horizontal="center" vertical="center" shrinkToFit="1"/>
    </xf>
    <xf numFmtId="4" fontId="39" fillId="10" borderId="1" xfId="1" applyNumberFormat="1" applyFont="1" applyFill="1" applyBorder="1" applyAlignment="1">
      <alignment horizontal="center" vertical="center" shrinkToFit="1"/>
    </xf>
    <xf numFmtId="0" fontId="39" fillId="10" borderId="1" xfId="1" applyNumberFormat="1" applyFont="1" applyFill="1" applyBorder="1" applyAlignment="1">
      <alignment horizontal="center" vertical="center" shrinkToFit="1"/>
    </xf>
    <xf numFmtId="3" fontId="39" fillId="10" borderId="1" xfId="0" applyNumberFormat="1" applyFont="1" applyFill="1" applyBorder="1" applyAlignment="1">
      <alignment horizontal="center" vertical="center" shrinkToFit="1"/>
    </xf>
    <xf numFmtId="4" fontId="39" fillId="10" borderId="1" xfId="0" applyNumberFormat="1" applyFont="1" applyFill="1" applyBorder="1" applyAlignment="1">
      <alignment horizontal="center" vertical="center" shrinkToFit="1"/>
    </xf>
    <xf numFmtId="0" fontId="12" fillId="0" borderId="5"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46" fillId="0" borderId="0" xfId="0" applyFont="1" applyAlignment="1">
      <alignment horizontal="center"/>
    </xf>
    <xf numFmtId="0" fontId="52" fillId="0" borderId="0" xfId="0" applyFont="1" applyAlignment="1">
      <alignment horizontal="center" vertical="center"/>
    </xf>
    <xf numFmtId="0" fontId="53" fillId="10" borderId="4" xfId="0" applyFont="1" applyFill="1" applyBorder="1" applyAlignment="1">
      <alignment horizontal="center" vertical="center" wrapText="1"/>
    </xf>
    <xf numFmtId="3" fontId="39" fillId="10" borderId="4" xfId="0" applyNumberFormat="1" applyFont="1" applyFill="1" applyBorder="1" applyAlignment="1">
      <alignment horizontal="center" vertical="center" shrinkToFit="1"/>
    </xf>
    <xf numFmtId="3" fontId="39" fillId="10" borderId="4" xfId="0" applyNumberFormat="1" applyFont="1" applyFill="1" applyBorder="1" applyAlignment="1">
      <alignment horizontal="center" vertical="center" wrapText="1"/>
    </xf>
    <xf numFmtId="0" fontId="53" fillId="10" borderId="1" xfId="0" applyFont="1" applyFill="1" applyBorder="1" applyAlignment="1">
      <alignment horizontal="center" vertical="center" wrapText="1"/>
    </xf>
    <xf numFmtId="3" fontId="39" fillId="10" borderId="1" xfId="0" applyNumberFormat="1" applyFont="1" applyFill="1" applyBorder="1" applyAlignment="1">
      <alignment horizontal="center" vertical="center" wrapText="1"/>
    </xf>
    <xf numFmtId="0" fontId="41" fillId="0" borderId="1" xfId="0" applyFont="1" applyBorder="1" applyAlignment="1">
      <alignment horizontal="center" vertical="center" wrapText="1"/>
    </xf>
    <xf numFmtId="3" fontId="53" fillId="10" borderId="4" xfId="1" applyNumberFormat="1" applyFont="1" applyFill="1" applyBorder="1" applyAlignment="1">
      <alignment horizontal="center" vertical="center" wrapText="1"/>
    </xf>
    <xf numFmtId="3" fontId="53" fillId="10" borderId="1" xfId="1" applyNumberFormat="1" applyFont="1" applyFill="1" applyBorder="1" applyAlignment="1">
      <alignment horizontal="center" vertical="center" wrapText="1"/>
    </xf>
    <xf numFmtId="49" fontId="54" fillId="0" borderId="1" xfId="1" applyNumberFormat="1" applyFont="1" applyBorder="1" applyAlignment="1">
      <alignment horizontal="center" vertical="center"/>
    </xf>
    <xf numFmtId="43" fontId="54" fillId="0" borderId="1" xfId="1" applyFont="1" applyFill="1" applyBorder="1" applyAlignment="1">
      <alignment horizontal="center" vertical="center" wrapText="1"/>
    </xf>
    <xf numFmtId="3" fontId="54" fillId="0" borderId="1" xfId="1" applyNumberFormat="1" applyFont="1" applyBorder="1" applyAlignment="1">
      <alignment horizontal="center" vertical="center"/>
    </xf>
    <xf numFmtId="4" fontId="54" fillId="0" borderId="5" xfId="1" applyNumberFormat="1" applyFont="1" applyBorder="1" applyAlignment="1">
      <alignment horizontal="center" vertical="center" shrinkToFit="1"/>
    </xf>
    <xf numFmtId="4" fontId="54" fillId="0" borderId="5" xfId="1" applyNumberFormat="1" applyFont="1" applyFill="1" applyBorder="1" applyAlignment="1">
      <alignment horizontal="center" vertical="center" shrinkToFit="1"/>
    </xf>
    <xf numFmtId="3" fontId="53" fillId="10" borderId="4" xfId="1" applyNumberFormat="1" applyFont="1" applyFill="1" applyBorder="1" applyAlignment="1">
      <alignment horizontal="center" vertical="center"/>
    </xf>
    <xf numFmtId="4" fontId="53" fillId="10" borderId="1" xfId="1" applyNumberFormat="1" applyFont="1" applyFill="1" applyBorder="1" applyAlignment="1">
      <alignment horizontal="center" vertical="center" shrinkToFit="1"/>
    </xf>
    <xf numFmtId="9" fontId="16" fillId="0" borderId="0" xfId="3" applyFont="1"/>
    <xf numFmtId="9" fontId="16" fillId="0" borderId="0" xfId="3" applyFont="1"/>
    <xf numFmtId="43" fontId="16" fillId="0" borderId="0" xfId="1" applyFont="1"/>
    <xf numFmtId="43" fontId="16" fillId="0" borderId="0" xfId="1" applyFont="1"/>
    <xf numFmtId="0" fontId="0" fillId="0" borderId="0" xfId="0" applyAlignment="1">
      <alignment horizontal="justify"/>
    </xf>
    <xf numFmtId="9" fontId="17" fillId="0" borderId="0" xfId="3" applyFont="1"/>
    <xf numFmtId="0" fontId="67" fillId="0" borderId="0" xfId="0" applyFont="1"/>
    <xf numFmtId="9" fontId="17" fillId="0" borderId="0" xfId="3" applyNumberFormat="1" applyFont="1"/>
    <xf numFmtId="3" fontId="40" fillId="0" borderId="1" xfId="1" applyNumberFormat="1" applyFont="1" applyFill="1" applyBorder="1" applyAlignment="1">
      <alignment horizontal="center" vertical="center" shrinkToFit="1"/>
    </xf>
    <xf numFmtId="3" fontId="40" fillId="5" borderId="1" xfId="1" applyNumberFormat="1" applyFont="1" applyFill="1" applyBorder="1" applyAlignment="1">
      <alignment horizontal="center" vertical="center" shrinkToFit="1"/>
    </xf>
    <xf numFmtId="4" fontId="40" fillId="0" borderId="1" xfId="1" applyNumberFormat="1" applyFont="1" applyFill="1" applyBorder="1" applyAlignment="1">
      <alignment horizontal="center" vertical="center" shrinkToFit="1"/>
    </xf>
    <xf numFmtId="4" fontId="40" fillId="5" borderId="1" xfId="1" applyNumberFormat="1" applyFont="1" applyFill="1" applyBorder="1" applyAlignment="1">
      <alignment horizontal="center" vertical="center" shrinkToFit="1"/>
    </xf>
    <xf numFmtId="0" fontId="27" fillId="0" borderId="1" xfId="0" applyFont="1" applyBorder="1" applyAlignment="1">
      <alignment vertical="center" wrapText="1"/>
    </xf>
    <xf numFmtId="0" fontId="32" fillId="0" borderId="1" xfId="0" applyFont="1" applyBorder="1" applyAlignment="1">
      <alignment horizontal="center" vertical="center"/>
    </xf>
    <xf numFmtId="0" fontId="32" fillId="0" borderId="1" xfId="0" applyFont="1" applyBorder="1" applyAlignment="1">
      <alignment horizontal="justify" vertical="center" wrapText="1"/>
    </xf>
    <xf numFmtId="0" fontId="33" fillId="0" borderId="1" xfId="0" applyFont="1" applyBorder="1" applyAlignment="1">
      <alignment horizontal="center" vertical="center"/>
    </xf>
    <xf numFmtId="0" fontId="27" fillId="0" borderId="1" xfId="0" applyFont="1" applyFill="1" applyBorder="1" applyAlignment="1">
      <alignment vertical="center" wrapText="1"/>
    </xf>
    <xf numFmtId="0" fontId="32" fillId="0" borderId="1" xfId="0" applyFont="1" applyFill="1" applyBorder="1" applyAlignment="1">
      <alignment horizontal="center" vertical="center"/>
    </xf>
    <xf numFmtId="0" fontId="32" fillId="0" borderId="1" xfId="0" applyFont="1" applyFill="1" applyBorder="1" applyAlignment="1">
      <alignment horizontal="justify" vertical="center" wrapText="1"/>
    </xf>
    <xf numFmtId="0" fontId="33" fillId="0" borderId="1" xfId="0" applyFont="1" applyFill="1" applyBorder="1" applyAlignment="1">
      <alignment horizontal="center" vertical="center"/>
    </xf>
    <xf numFmtId="3" fontId="0" fillId="0" borderId="0" xfId="0" applyNumberFormat="1"/>
    <xf numFmtId="3" fontId="40" fillId="0" borderId="1" xfId="0" applyNumberFormat="1" applyFont="1" applyFill="1" applyBorder="1" applyAlignment="1">
      <alignment horizontal="center" vertical="center" shrinkToFit="1"/>
    </xf>
    <xf numFmtId="166" fontId="0" fillId="0" borderId="0" xfId="0" applyNumberFormat="1"/>
    <xf numFmtId="3" fontId="19" fillId="5" borderId="0" xfId="1" applyNumberFormat="1" applyFont="1" applyFill="1" applyBorder="1" applyAlignment="1">
      <alignment horizontal="center" vertical="center" shrinkToFit="1"/>
    </xf>
    <xf numFmtId="0" fontId="25" fillId="0" borderId="0" xfId="0" applyFont="1" applyBorder="1" applyAlignment="1">
      <alignment vertical="center"/>
    </xf>
    <xf numFmtId="0" fontId="27" fillId="0" borderId="1" xfId="0" applyFont="1" applyBorder="1" applyAlignment="1">
      <alignment horizontal="center" vertical="center" wrapText="1"/>
    </xf>
    <xf numFmtId="0" fontId="67" fillId="0" borderId="0" xfId="0" applyFont="1" applyAlignment="1">
      <alignment horizontal="center" vertical="center"/>
    </xf>
    <xf numFmtId="0" fontId="27" fillId="0" borderId="1" xfId="0" applyFont="1" applyFill="1" applyBorder="1" applyAlignment="1">
      <alignment horizontal="center" vertical="center" wrapText="1"/>
    </xf>
    <xf numFmtId="0" fontId="75" fillId="0" borderId="1" xfId="0" applyFont="1" applyFill="1" applyBorder="1" applyAlignment="1">
      <alignment horizontal="center" vertical="center" wrapText="1"/>
    </xf>
    <xf numFmtId="0" fontId="39" fillId="0" borderId="1" xfId="0" applyFont="1" applyFill="1" applyBorder="1" applyAlignment="1">
      <alignment vertical="center" shrinkToFit="1"/>
    </xf>
    <xf numFmtId="3" fontId="39" fillId="0" borderId="1" xfId="1" applyNumberFormat="1" applyFont="1" applyFill="1" applyBorder="1" applyAlignment="1">
      <alignment horizontal="center" vertical="center" shrinkToFit="1"/>
    </xf>
    <xf numFmtId="166" fontId="39" fillId="0" borderId="1" xfId="2" applyNumberFormat="1" applyFont="1" applyFill="1" applyBorder="1" applyAlignment="1">
      <alignment horizontal="center" vertical="center" shrinkToFit="1"/>
    </xf>
    <xf numFmtId="3" fontId="39" fillId="0" borderId="1" xfId="0" applyNumberFormat="1" applyFont="1" applyFill="1" applyBorder="1" applyAlignment="1">
      <alignment horizontal="center" vertical="center" shrinkToFit="1"/>
    </xf>
    <xf numFmtId="0" fontId="75" fillId="5" borderId="1" xfId="0" applyFont="1" applyFill="1" applyBorder="1" applyAlignment="1">
      <alignment horizontal="center" vertical="center" wrapText="1"/>
    </xf>
    <xf numFmtId="0" fontId="80" fillId="5" borderId="1" xfId="0" applyFont="1" applyFill="1" applyBorder="1" applyAlignment="1">
      <alignment horizontal="center" vertical="center" wrapText="1"/>
    </xf>
    <xf numFmtId="3" fontId="80" fillId="5" borderId="1" xfId="1" applyNumberFormat="1" applyFont="1" applyFill="1" applyBorder="1" applyAlignment="1">
      <alignment horizontal="center" vertical="center"/>
    </xf>
    <xf numFmtId="4" fontId="80" fillId="5" borderId="1" xfId="1" applyNumberFormat="1" applyFont="1" applyFill="1" applyBorder="1" applyAlignment="1">
      <alignment horizontal="center" vertical="center" shrinkToFit="1"/>
    </xf>
    <xf numFmtId="0" fontId="80" fillId="0" borderId="1" xfId="0" applyFont="1" applyBorder="1" applyAlignment="1">
      <alignment horizontal="center" vertical="center" wrapText="1"/>
    </xf>
    <xf numFmtId="3" fontId="80" fillId="0" borderId="1" xfId="1" applyNumberFormat="1" applyFont="1" applyBorder="1" applyAlignment="1">
      <alignment horizontal="center" vertical="center"/>
    </xf>
    <xf numFmtId="4" fontId="80" fillId="0" borderId="1" xfId="1" applyNumberFormat="1" applyFont="1" applyFill="1" applyBorder="1" applyAlignment="1">
      <alignment horizontal="center" vertical="center" shrinkToFit="1"/>
    </xf>
    <xf numFmtId="4" fontId="80" fillId="0" borderId="1" xfId="1" applyNumberFormat="1" applyFont="1" applyBorder="1" applyAlignment="1">
      <alignment horizontal="center" vertical="center" shrinkToFit="1"/>
    </xf>
    <xf numFmtId="43" fontId="80" fillId="0" borderId="1" xfId="1" applyFont="1" applyFill="1" applyBorder="1" applyAlignment="1">
      <alignment horizontal="center" vertical="center" wrapText="1"/>
    </xf>
    <xf numFmtId="0" fontId="39" fillId="5" borderId="1" xfId="0" applyFont="1" applyFill="1" applyBorder="1" applyAlignment="1">
      <alignment horizontal="center" vertical="center" shrinkToFit="1"/>
    </xf>
    <xf numFmtId="3" fontId="39" fillId="5" borderId="1" xfId="1" applyNumberFormat="1" applyFont="1" applyFill="1" applyBorder="1" applyAlignment="1">
      <alignment horizontal="center" vertical="center" shrinkToFit="1"/>
    </xf>
    <xf numFmtId="165" fontId="39" fillId="5" borderId="1" xfId="1" applyNumberFormat="1" applyFont="1" applyFill="1" applyBorder="1" applyAlignment="1">
      <alignment horizontal="center" vertical="center" shrinkToFit="1"/>
    </xf>
    <xf numFmtId="43" fontId="39" fillId="5" borderId="1" xfId="1" applyNumberFormat="1" applyFont="1" applyFill="1" applyBorder="1" applyAlignment="1">
      <alignment horizontal="center" vertical="center" shrinkToFit="1"/>
    </xf>
    <xf numFmtId="0" fontId="39" fillId="0" borderId="1" xfId="0" applyFont="1" applyFill="1" applyBorder="1" applyAlignment="1">
      <alignment horizontal="center" vertical="center" shrinkToFit="1"/>
    </xf>
    <xf numFmtId="43" fontId="82" fillId="0" borderId="1" xfId="1" applyFont="1" applyFill="1" applyBorder="1" applyAlignment="1">
      <alignment horizontal="center" vertical="center" wrapText="1"/>
    </xf>
    <xf numFmtId="165" fontId="39" fillId="0" borderId="1" xfId="1" applyNumberFormat="1" applyFont="1" applyFill="1" applyBorder="1" applyAlignment="1">
      <alignment horizontal="center" vertical="center" shrinkToFit="1"/>
    </xf>
    <xf numFmtId="4" fontId="39" fillId="5" borderId="1" xfId="2" applyNumberFormat="1" applyFont="1" applyFill="1" applyBorder="1" applyAlignment="1">
      <alignment horizontal="center" vertical="center" shrinkToFit="1"/>
    </xf>
    <xf numFmtId="3" fontId="39" fillId="0" borderId="1" xfId="1" applyNumberFormat="1" applyFont="1" applyBorder="1" applyAlignment="1">
      <alignment horizontal="center" vertical="center" shrinkToFit="1"/>
    </xf>
    <xf numFmtId="4" fontId="39" fillId="0" borderId="1" xfId="2" applyNumberFormat="1" applyFont="1" applyBorder="1" applyAlignment="1">
      <alignment horizontal="center" vertical="center" shrinkToFit="1"/>
    </xf>
    <xf numFmtId="167" fontId="39" fillId="0" borderId="1" xfId="2" applyNumberFormat="1" applyFont="1" applyFill="1" applyBorder="1" applyAlignment="1">
      <alignment horizontal="center" vertical="center" shrinkToFit="1"/>
    </xf>
    <xf numFmtId="0" fontId="39" fillId="0" borderId="1" xfId="0" applyFont="1" applyFill="1" applyBorder="1" applyAlignment="1">
      <alignment horizontal="left" vertical="center" shrinkToFit="1"/>
    </xf>
    <xf numFmtId="3" fontId="39" fillId="5" borderId="1" xfId="0" applyNumberFormat="1" applyFont="1" applyFill="1" applyBorder="1" applyAlignment="1">
      <alignment horizontal="center" vertical="center" shrinkToFit="1"/>
    </xf>
    <xf numFmtId="4" fontId="39" fillId="0" borderId="1" xfId="1" applyNumberFormat="1" applyFont="1" applyFill="1" applyBorder="1" applyAlignment="1">
      <alignment horizontal="center" vertical="center" shrinkToFit="1"/>
    </xf>
    <xf numFmtId="4" fontId="39" fillId="0" borderId="1" xfId="0" applyNumberFormat="1" applyFont="1" applyFill="1" applyBorder="1" applyAlignment="1">
      <alignment horizontal="center" vertical="center" shrinkToFit="1"/>
    </xf>
    <xf numFmtId="43" fontId="39" fillId="5" borderId="1" xfId="1" applyFont="1" applyFill="1" applyBorder="1" applyAlignment="1">
      <alignment horizontal="center" vertical="center" shrinkToFit="1"/>
    </xf>
    <xf numFmtId="43" fontId="39" fillId="0" borderId="1" xfId="1" applyFont="1" applyFill="1" applyBorder="1" applyAlignment="1">
      <alignment horizontal="center" vertical="center" shrinkToFit="1"/>
    </xf>
    <xf numFmtId="0" fontId="34"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73" fillId="0" borderId="1" xfId="0" applyFont="1" applyFill="1" applyBorder="1" applyAlignment="1">
      <alignment horizontal="center" vertical="center" wrapText="1"/>
    </xf>
    <xf numFmtId="3" fontId="36" fillId="5" borderId="1" xfId="0" applyNumberFormat="1" applyFont="1" applyFill="1" applyBorder="1" applyAlignment="1">
      <alignment horizontal="center" vertical="center" shrinkToFit="1"/>
    </xf>
    <xf numFmtId="4" fontId="36" fillId="5" borderId="1" xfId="0" applyNumberFormat="1" applyFont="1" applyFill="1" applyBorder="1" applyAlignment="1">
      <alignment horizontal="center" vertical="center" shrinkToFit="1"/>
    </xf>
    <xf numFmtId="4" fontId="36" fillId="5" borderId="1" xfId="1" applyNumberFormat="1" applyFont="1" applyFill="1" applyBorder="1" applyAlignment="1">
      <alignment horizontal="center" vertical="center" shrinkToFit="1"/>
    </xf>
    <xf numFmtId="3" fontId="36" fillId="0" borderId="1" xfId="0" applyNumberFormat="1" applyFont="1" applyFill="1" applyBorder="1" applyAlignment="1">
      <alignment horizontal="center" vertical="center" shrinkToFit="1"/>
    </xf>
    <xf numFmtId="4" fontId="36" fillId="0" borderId="1" xfId="0" applyNumberFormat="1" applyFont="1" applyFill="1" applyBorder="1" applyAlignment="1">
      <alignment horizontal="center" vertical="center" shrinkToFit="1"/>
    </xf>
    <xf numFmtId="166" fontId="36" fillId="5" borderId="1" xfId="2" applyNumberFormat="1" applyFont="1" applyFill="1" applyBorder="1" applyAlignment="1">
      <alignment horizontal="center" vertical="center" wrapText="1" shrinkToFit="1"/>
    </xf>
    <xf numFmtId="166" fontId="36" fillId="5" borderId="1" xfId="2" applyNumberFormat="1" applyFont="1" applyFill="1" applyBorder="1" applyAlignment="1">
      <alignment horizontal="center" vertical="center" shrinkToFit="1"/>
    </xf>
    <xf numFmtId="166" fontId="36" fillId="5" borderId="1" xfId="0" applyNumberFormat="1" applyFont="1" applyFill="1" applyBorder="1" applyAlignment="1">
      <alignment horizontal="center" vertical="center" shrinkToFit="1"/>
    </xf>
    <xf numFmtId="4" fontId="36" fillId="0" borderId="1" xfId="2" applyNumberFormat="1" applyFont="1" applyFill="1" applyBorder="1" applyAlignment="1">
      <alignment horizontal="center" vertical="center" shrinkToFit="1"/>
    </xf>
    <xf numFmtId="3" fontId="36" fillId="0" borderId="1" xfId="1" applyNumberFormat="1" applyFont="1" applyFill="1" applyBorder="1" applyAlignment="1">
      <alignment horizontal="center" vertical="center" shrinkToFit="1"/>
    </xf>
    <xf numFmtId="166" fontId="36" fillId="0" borderId="1" xfId="2" applyNumberFormat="1" applyFont="1" applyFill="1" applyBorder="1" applyAlignment="1">
      <alignment horizontal="center" vertical="center" shrinkToFit="1"/>
    </xf>
    <xf numFmtId="3" fontId="3" fillId="0" borderId="1" xfId="0" applyNumberFormat="1" applyFont="1" applyFill="1" applyBorder="1" applyAlignment="1">
      <alignment horizontal="center" vertical="center" shrinkToFit="1"/>
    </xf>
    <xf numFmtId="167" fontId="36" fillId="0" borderId="1" xfId="2" applyNumberFormat="1" applyFont="1" applyFill="1" applyBorder="1" applyAlignment="1">
      <alignment horizontal="center" vertical="center" shrinkToFit="1"/>
    </xf>
    <xf numFmtId="167" fontId="36" fillId="5" borderId="1" xfId="2" applyNumberFormat="1" applyFont="1" applyFill="1" applyBorder="1" applyAlignment="1">
      <alignment horizontal="center" vertical="center" shrinkToFit="1"/>
    </xf>
    <xf numFmtId="3" fontId="85" fillId="5" borderId="1" xfId="0" applyNumberFormat="1" applyFont="1" applyFill="1" applyBorder="1" applyAlignment="1">
      <alignment horizontal="center" vertical="center" shrinkToFit="1"/>
    </xf>
    <xf numFmtId="4" fontId="85" fillId="5" borderId="1" xfId="0" applyNumberFormat="1" applyFont="1" applyFill="1" applyBorder="1" applyAlignment="1">
      <alignment horizontal="center" vertical="center" shrinkToFit="1"/>
    </xf>
    <xf numFmtId="4" fontId="85" fillId="5" borderId="1" xfId="1" applyNumberFormat="1" applyFont="1" applyFill="1" applyBorder="1" applyAlignment="1">
      <alignment horizontal="center" vertical="center" shrinkToFit="1"/>
    </xf>
    <xf numFmtId="1" fontId="85" fillId="0" borderId="1" xfId="1" applyNumberFormat="1" applyFont="1" applyFill="1" applyBorder="1" applyAlignment="1">
      <alignment horizontal="center" vertical="center" shrinkToFit="1"/>
    </xf>
    <xf numFmtId="49" fontId="85" fillId="0" borderId="1" xfId="1" applyNumberFormat="1" applyFont="1" applyFill="1" applyBorder="1" applyAlignment="1">
      <alignment horizontal="center" vertical="center" shrinkToFit="1"/>
    </xf>
    <xf numFmtId="3" fontId="85" fillId="0" borderId="1" xfId="1" applyNumberFormat="1" applyFont="1" applyFill="1" applyBorder="1" applyAlignment="1">
      <alignment horizontal="center" vertical="center" wrapText="1"/>
    </xf>
    <xf numFmtId="3" fontId="85" fillId="0" borderId="1" xfId="0" applyNumberFormat="1" applyFont="1" applyFill="1" applyBorder="1" applyAlignment="1">
      <alignment horizontal="center" vertical="center" wrapText="1"/>
    </xf>
    <xf numFmtId="4" fontId="85" fillId="0" borderId="1" xfId="1" applyNumberFormat="1" applyFont="1" applyBorder="1" applyAlignment="1">
      <alignment horizontal="center" vertical="center" shrinkToFit="1"/>
    </xf>
    <xf numFmtId="4" fontId="85" fillId="0" borderId="1" xfId="1" applyNumberFormat="1" applyFont="1" applyFill="1" applyBorder="1" applyAlignment="1">
      <alignment horizontal="center" vertical="center" shrinkToFit="1"/>
    </xf>
    <xf numFmtId="3" fontId="85" fillId="5" borderId="1" xfId="0" applyNumberFormat="1" applyFont="1" applyFill="1" applyBorder="1" applyAlignment="1">
      <alignment horizontal="center" vertical="center" wrapText="1"/>
    </xf>
    <xf numFmtId="3" fontId="85" fillId="0" borderId="1" xfId="1" applyNumberFormat="1" applyFont="1" applyBorder="1" applyAlignment="1">
      <alignment horizontal="center" vertical="center" wrapText="1"/>
    </xf>
    <xf numFmtId="165" fontId="85" fillId="0" borderId="1" xfId="1" applyNumberFormat="1" applyFont="1" applyFill="1" applyBorder="1" applyAlignment="1">
      <alignment horizontal="center" vertical="center" shrinkToFit="1"/>
    </xf>
    <xf numFmtId="1" fontId="85" fillId="0" borderId="1" xfId="0" applyNumberFormat="1" applyFont="1" applyFill="1" applyBorder="1" applyAlignment="1">
      <alignment horizontal="center" vertical="center" shrinkToFit="1"/>
    </xf>
    <xf numFmtId="0" fontId="85" fillId="0" borderId="1" xfId="1" applyNumberFormat="1" applyFont="1" applyFill="1" applyBorder="1" applyAlignment="1">
      <alignment horizontal="center" vertical="center" shrinkToFit="1"/>
    </xf>
    <xf numFmtId="3" fontId="85" fillId="5" borderId="1" xfId="1" applyNumberFormat="1" applyFont="1" applyFill="1" applyBorder="1" applyAlignment="1">
      <alignment horizontal="center" vertical="center" shrinkToFit="1"/>
    </xf>
    <xf numFmtId="1" fontId="85" fillId="0" borderId="1" xfId="1" applyNumberFormat="1" applyFont="1" applyBorder="1" applyAlignment="1">
      <alignment horizontal="center" vertical="center" shrinkToFit="1"/>
    </xf>
    <xf numFmtId="3" fontId="85" fillId="0" borderId="1" xfId="1" applyNumberFormat="1" applyFont="1" applyFill="1" applyBorder="1" applyAlignment="1">
      <alignment horizontal="center" vertical="center" shrinkToFit="1"/>
    </xf>
    <xf numFmtId="0" fontId="85" fillId="5" borderId="1" xfId="1" applyNumberFormat="1" applyFont="1" applyFill="1" applyBorder="1" applyAlignment="1">
      <alignment horizontal="center" vertical="center" shrinkToFit="1"/>
    </xf>
    <xf numFmtId="3" fontId="85" fillId="0" borderId="1" xfId="1" applyNumberFormat="1" applyFont="1" applyBorder="1" applyAlignment="1">
      <alignment horizontal="center" vertical="center" shrinkToFit="1"/>
    </xf>
    <xf numFmtId="2" fontId="85" fillId="0" borderId="1" xfId="1" applyNumberFormat="1" applyFont="1" applyFill="1" applyBorder="1" applyAlignment="1">
      <alignment horizontal="center" vertical="center" shrinkToFit="1"/>
    </xf>
    <xf numFmtId="167" fontId="85" fillId="0" borderId="1" xfId="1" applyNumberFormat="1" applyFont="1" applyFill="1" applyBorder="1" applyAlignment="1">
      <alignment horizontal="center" vertical="center" shrinkToFit="1"/>
    </xf>
    <xf numFmtId="3" fontId="36" fillId="5" borderId="1" xfId="3" applyNumberFormat="1" applyFont="1" applyFill="1" applyBorder="1" applyAlignment="1">
      <alignment horizontal="center" vertical="center" shrinkToFit="1"/>
    </xf>
    <xf numFmtId="43" fontId="36" fillId="5" borderId="1" xfId="1" applyFont="1" applyFill="1" applyBorder="1" applyAlignment="1">
      <alignment horizontal="center" vertical="center" shrinkToFit="1"/>
    </xf>
    <xf numFmtId="0" fontId="36" fillId="0" borderId="1" xfId="0" applyFont="1" applyFill="1" applyBorder="1" applyAlignment="1">
      <alignment horizontal="center" vertical="center" shrinkToFit="1"/>
    </xf>
    <xf numFmtId="167" fontId="36" fillId="0" borderId="1" xfId="1" applyNumberFormat="1" applyFont="1" applyFill="1" applyBorder="1" applyAlignment="1">
      <alignment horizontal="center" vertical="center" shrinkToFit="1"/>
    </xf>
    <xf numFmtId="43" fontId="36" fillId="0" borderId="1" xfId="1" applyFont="1" applyFill="1" applyBorder="1" applyAlignment="1">
      <alignment horizontal="center" vertical="center" shrinkToFit="1"/>
    </xf>
    <xf numFmtId="3" fontId="3" fillId="2" borderId="1" xfId="0" applyNumberFormat="1" applyFont="1" applyFill="1" applyBorder="1" applyAlignment="1">
      <alignment horizontal="center" vertical="center" shrinkToFit="1"/>
    </xf>
    <xf numFmtId="167" fontId="3" fillId="2" borderId="1" xfId="1" applyNumberFormat="1" applyFont="1" applyFill="1" applyBorder="1" applyAlignment="1">
      <alignment horizontal="center" vertical="center" shrinkToFit="1"/>
    </xf>
    <xf numFmtId="43" fontId="3" fillId="2" borderId="1" xfId="1" applyFont="1" applyFill="1" applyBorder="1" applyAlignment="1">
      <alignment horizontal="center" vertical="center" shrinkToFit="1"/>
    </xf>
    <xf numFmtId="3" fontId="3" fillId="5" borderId="1" xfId="0" applyNumberFormat="1" applyFont="1" applyFill="1" applyBorder="1" applyAlignment="1">
      <alignment horizontal="center" vertical="center" shrinkToFit="1"/>
    </xf>
    <xf numFmtId="43" fontId="3" fillId="5" borderId="1" xfId="1" applyFont="1" applyFill="1" applyBorder="1" applyAlignment="1">
      <alignment horizontal="center" vertical="center" shrinkToFit="1"/>
    </xf>
    <xf numFmtId="167" fontId="3" fillId="0" borderId="1" xfId="1" applyNumberFormat="1" applyFont="1" applyFill="1" applyBorder="1" applyAlignment="1">
      <alignment horizontal="center" vertical="center" shrinkToFit="1"/>
    </xf>
    <xf numFmtId="43" fontId="3" fillId="0" borderId="1" xfId="1" applyFont="1" applyFill="1" applyBorder="1" applyAlignment="1">
      <alignment horizontal="center" vertical="center" shrinkToFit="1"/>
    </xf>
    <xf numFmtId="3" fontId="36" fillId="2" borderId="1" xfId="0" applyNumberFormat="1" applyFont="1" applyFill="1" applyBorder="1" applyAlignment="1">
      <alignment horizontal="center" vertical="center" shrinkToFit="1"/>
    </xf>
    <xf numFmtId="167" fontId="36" fillId="2" borderId="1" xfId="1" applyNumberFormat="1" applyFont="1" applyFill="1" applyBorder="1" applyAlignment="1">
      <alignment horizontal="center" vertical="center" shrinkToFit="1"/>
    </xf>
    <xf numFmtId="3" fontId="36" fillId="0" borderId="1" xfId="3" applyNumberFormat="1" applyFont="1" applyFill="1" applyBorder="1" applyAlignment="1">
      <alignment horizontal="center" vertical="center" shrinkToFit="1"/>
    </xf>
    <xf numFmtId="165" fontId="36" fillId="0" borderId="1" xfId="1" applyNumberFormat="1" applyFont="1" applyFill="1" applyBorder="1" applyAlignment="1">
      <alignment horizontal="center" vertical="center" shrinkToFit="1"/>
    </xf>
    <xf numFmtId="0" fontId="59" fillId="5" borderId="1" xfId="0" applyFont="1" applyFill="1" applyBorder="1" applyAlignment="1">
      <alignment horizontal="center" vertical="center" shrinkToFit="1"/>
    </xf>
    <xf numFmtId="4" fontId="36" fillId="5" borderId="1" xfId="5" applyNumberFormat="1" applyFont="1" applyFill="1" applyBorder="1" applyAlignment="1">
      <alignment horizontal="center" vertical="center" shrinkToFit="1"/>
    </xf>
    <xf numFmtId="4" fontId="36" fillId="5" borderId="1" xfId="2" applyNumberFormat="1" applyFont="1" applyFill="1" applyBorder="1" applyAlignment="1">
      <alignment vertical="center" shrinkToFit="1"/>
    </xf>
    <xf numFmtId="3" fontId="36" fillId="0" borderId="1" xfId="5" applyNumberFormat="1" applyFont="1" applyBorder="1" applyAlignment="1">
      <alignment horizontal="center" vertical="center" shrinkToFit="1"/>
    </xf>
    <xf numFmtId="3" fontId="36" fillId="0" borderId="1" xfId="2" applyNumberFormat="1" applyFont="1" applyBorder="1" applyAlignment="1">
      <alignment horizontal="center" vertical="center" shrinkToFit="1"/>
    </xf>
    <xf numFmtId="3" fontId="36" fillId="0" borderId="1" xfId="0" applyNumberFormat="1" applyFont="1" applyBorder="1" applyAlignment="1">
      <alignment horizontal="center" vertical="center" shrinkToFit="1"/>
    </xf>
    <xf numFmtId="4" fontId="36" fillId="0" borderId="1" xfId="5" applyNumberFormat="1" applyFont="1" applyBorder="1" applyAlignment="1">
      <alignment horizontal="center" vertical="center" shrinkToFit="1"/>
    </xf>
    <xf numFmtId="4" fontId="36" fillId="0" borderId="1" xfId="2" applyNumberFormat="1" applyFont="1" applyBorder="1" applyAlignment="1">
      <alignment vertical="center" shrinkToFit="1"/>
    </xf>
    <xf numFmtId="4" fontId="36" fillId="5" borderId="1" xfId="2" applyNumberFormat="1" applyFont="1" applyFill="1" applyBorder="1" applyAlignment="1">
      <alignment horizontal="center" vertical="center" shrinkToFit="1"/>
    </xf>
    <xf numFmtId="3" fontId="36" fillId="2" borderId="1" xfId="2" applyNumberFormat="1" applyFont="1" applyFill="1" applyBorder="1" applyAlignment="1">
      <alignment horizontal="center" vertical="center" shrinkToFit="1"/>
    </xf>
    <xf numFmtId="4" fontId="36" fillId="2" borderId="1" xfId="2" applyNumberFormat="1" applyFont="1" applyFill="1" applyBorder="1" applyAlignment="1">
      <alignment horizontal="center" vertical="center" shrinkToFit="1"/>
    </xf>
    <xf numFmtId="3" fontId="59" fillId="5" borderId="1" xfId="0" applyNumberFormat="1" applyFont="1" applyFill="1" applyBorder="1" applyAlignment="1">
      <alignment horizontal="center" vertical="center" shrinkToFit="1"/>
    </xf>
    <xf numFmtId="4" fontId="59" fillId="5" borderId="1" xfId="0" applyNumberFormat="1" applyFont="1" applyFill="1" applyBorder="1" applyAlignment="1">
      <alignment horizontal="center" vertical="center" shrinkToFit="1"/>
    </xf>
    <xf numFmtId="4" fontId="59" fillId="12" borderId="1" xfId="0" applyNumberFormat="1" applyFont="1" applyFill="1" applyBorder="1" applyAlignment="1">
      <alignment horizontal="center" vertical="center"/>
    </xf>
    <xf numFmtId="4" fontId="36" fillId="0" borderId="1" xfId="0" applyNumberFormat="1" applyFont="1" applyBorder="1" applyAlignment="1">
      <alignment horizontal="center" vertical="center" shrinkToFit="1"/>
    </xf>
    <xf numFmtId="168" fontId="36" fillId="5" borderId="1" xfId="0" applyNumberFormat="1" applyFont="1" applyFill="1" applyBorder="1" applyAlignment="1">
      <alignment horizontal="center" vertical="center" shrinkToFit="1"/>
    </xf>
    <xf numFmtId="168" fontId="36" fillId="0" borderId="1" xfId="0" applyNumberFormat="1" applyFont="1" applyFill="1" applyBorder="1" applyAlignment="1">
      <alignment horizontal="center" vertical="center" shrinkToFit="1"/>
    </xf>
    <xf numFmtId="4" fontId="36" fillId="5" borderId="1" xfId="0" applyNumberFormat="1" applyFont="1" applyFill="1" applyBorder="1" applyAlignment="1">
      <alignment horizontal="center" vertical="center"/>
    </xf>
    <xf numFmtId="4" fontId="36" fillId="0" borderId="1" xfId="0" applyNumberFormat="1" applyFont="1" applyFill="1" applyBorder="1" applyAlignment="1">
      <alignment horizontal="center" vertical="center"/>
    </xf>
    <xf numFmtId="3" fontId="3" fillId="5" borderId="1" xfId="0" applyNumberFormat="1" applyFont="1" applyFill="1" applyBorder="1" applyAlignment="1">
      <alignment horizontal="center" vertical="center" wrapText="1"/>
    </xf>
    <xf numFmtId="0" fontId="22" fillId="5"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shrinkToFit="1"/>
    </xf>
    <xf numFmtId="0" fontId="22" fillId="5" borderId="1" xfId="0" applyFont="1" applyFill="1" applyBorder="1" applyAlignment="1">
      <alignment horizontal="center" vertical="center" shrinkToFit="1"/>
    </xf>
    <xf numFmtId="0" fontId="22" fillId="5" borderId="1" xfId="0" applyFont="1" applyFill="1" applyBorder="1" applyAlignment="1">
      <alignment vertical="center" wrapText="1"/>
    </xf>
    <xf numFmtId="0" fontId="22" fillId="0" borderId="1" xfId="0" applyFont="1" applyFill="1" applyBorder="1" applyAlignment="1">
      <alignment vertical="center" wrapText="1"/>
    </xf>
    <xf numFmtId="0" fontId="53" fillId="5" borderId="1" xfId="0" applyFont="1" applyFill="1" applyBorder="1" applyAlignment="1">
      <alignment vertical="center" wrapText="1"/>
    </xf>
    <xf numFmtId="0" fontId="53" fillId="0" borderId="1" xfId="0" applyFont="1" applyFill="1" applyBorder="1" applyAlignment="1">
      <alignment vertical="center" wrapText="1"/>
    </xf>
    <xf numFmtId="166" fontId="36" fillId="0" borderId="1" xfId="1" applyNumberFormat="1" applyFont="1" applyFill="1" applyBorder="1" applyAlignment="1">
      <alignment shrinkToFit="1"/>
    </xf>
    <xf numFmtId="4" fontId="36" fillId="0" borderId="1" xfId="1" applyNumberFormat="1" applyFont="1" applyFill="1" applyBorder="1" applyAlignment="1">
      <alignment shrinkToFit="1"/>
    </xf>
    <xf numFmtId="43" fontId="36" fillId="2" borderId="1" xfId="1" applyFont="1" applyFill="1" applyBorder="1" applyAlignment="1">
      <alignment horizontal="center" vertical="center" shrinkToFit="1"/>
    </xf>
    <xf numFmtId="0" fontId="22" fillId="0" borderId="1" xfId="0" applyFont="1" applyBorder="1" applyAlignment="1">
      <alignment vertical="center" wrapText="1"/>
    </xf>
    <xf numFmtId="0" fontId="39" fillId="5" borderId="1" xfId="0" applyFont="1" applyFill="1" applyBorder="1" applyAlignment="1">
      <alignment vertical="center" wrapText="1"/>
    </xf>
    <xf numFmtId="0" fontId="39" fillId="0" borderId="1" xfId="0" applyFont="1" applyBorder="1" applyAlignment="1">
      <alignment vertical="center" wrapText="1"/>
    </xf>
    <xf numFmtId="43" fontId="36" fillId="5" borderId="1" xfId="1" applyFont="1" applyFill="1" applyBorder="1" applyAlignment="1">
      <alignment horizontal="center" vertical="center" wrapText="1"/>
    </xf>
    <xf numFmtId="43" fontId="36" fillId="0" borderId="1" xfId="1" applyFont="1" applyFill="1" applyBorder="1" applyAlignment="1">
      <alignment horizontal="center" vertical="center" wrapText="1"/>
    </xf>
    <xf numFmtId="0" fontId="88" fillId="0" borderId="0" xfId="0" applyFont="1" applyBorder="1" applyAlignment="1">
      <alignment horizontal="center" vertical="center" wrapText="1"/>
    </xf>
    <xf numFmtId="0" fontId="22" fillId="0" borderId="0" xfId="0" applyFont="1" applyFill="1" applyBorder="1" applyAlignment="1">
      <alignment horizontal="center" vertical="center" wrapText="1"/>
    </xf>
    <xf numFmtId="0" fontId="53" fillId="0" borderId="0" xfId="0" applyFont="1" applyFill="1" applyBorder="1" applyAlignment="1">
      <alignment vertical="center" wrapText="1"/>
    </xf>
    <xf numFmtId="4" fontId="40" fillId="0" borderId="0" xfId="1" applyNumberFormat="1" applyFont="1" applyFill="1" applyBorder="1" applyAlignment="1">
      <alignment horizontal="center" vertical="center" shrinkToFit="1"/>
    </xf>
    <xf numFmtId="43" fontId="40" fillId="0" borderId="0" xfId="1" applyFont="1" applyFill="1" applyBorder="1" applyAlignment="1">
      <alignment horizontal="center" vertical="center" shrinkToFit="1"/>
    </xf>
    <xf numFmtId="9" fontId="77" fillId="0" borderId="0" xfId="3" applyFont="1" applyFill="1" applyBorder="1" applyAlignment="1">
      <alignment horizontal="center" vertical="center" wrapText="1"/>
    </xf>
    <xf numFmtId="0" fontId="88" fillId="0" borderId="1" xfId="0" applyFont="1" applyBorder="1" applyAlignment="1">
      <alignment horizontal="center" vertical="center" wrapText="1"/>
    </xf>
    <xf numFmtId="0" fontId="22" fillId="5" borderId="1" xfId="0" applyFont="1" applyFill="1" applyBorder="1" applyAlignment="1">
      <alignment horizontal="center" vertical="center" wrapText="1"/>
    </xf>
    <xf numFmtId="43" fontId="40" fillId="5" borderId="1" xfId="1" applyFont="1" applyFill="1" applyBorder="1" applyAlignment="1">
      <alignment horizontal="center" vertical="center" shrinkToFit="1"/>
    </xf>
    <xf numFmtId="9" fontId="5" fillId="5" borderId="1" xfId="3" applyFont="1" applyFill="1" applyBorder="1" applyAlignment="1">
      <alignment horizontal="center" vertical="center" wrapText="1"/>
    </xf>
    <xf numFmtId="0" fontId="22" fillId="0" borderId="1" xfId="0" applyFont="1" applyFill="1" applyBorder="1" applyAlignment="1">
      <alignment horizontal="center" vertical="center" wrapText="1"/>
    </xf>
    <xf numFmtId="43" fontId="40" fillId="0" borderId="1" xfId="1" applyFont="1" applyFill="1" applyBorder="1" applyAlignment="1">
      <alignment horizontal="center" vertical="center" shrinkToFit="1"/>
    </xf>
    <xf numFmtId="9" fontId="77" fillId="0" borderId="1" xfId="3" applyFont="1" applyFill="1" applyBorder="1" applyAlignment="1">
      <alignment horizontal="center" vertical="center" wrapText="1"/>
    </xf>
    <xf numFmtId="0" fontId="19" fillId="0" borderId="1" xfId="0" applyFont="1" applyBorder="1" applyAlignment="1">
      <alignment horizontal="center" vertical="center" wrapText="1"/>
    </xf>
    <xf numFmtId="43" fontId="39" fillId="5" borderId="1" xfId="1" applyFont="1" applyFill="1" applyBorder="1" applyAlignment="1">
      <alignment horizontal="center" vertical="center" shrinkToFit="1"/>
    </xf>
    <xf numFmtId="43" fontId="39" fillId="0" borderId="1" xfId="1" applyFont="1" applyFill="1" applyBorder="1" applyAlignment="1">
      <alignment horizontal="center" vertical="center" shrinkToFit="1"/>
    </xf>
    <xf numFmtId="9" fontId="76" fillId="0" borderId="1" xfId="3" applyFont="1" applyFill="1" applyBorder="1" applyAlignment="1">
      <alignment horizontal="center" vertical="center" wrapText="1"/>
    </xf>
    <xf numFmtId="0" fontId="37" fillId="0" borderId="1" xfId="0" applyFont="1" applyBorder="1" applyAlignment="1">
      <alignment horizontal="center" vertical="center" wrapText="1"/>
    </xf>
    <xf numFmtId="0" fontId="51" fillId="11" borderId="1" xfId="0" applyFont="1" applyFill="1" applyBorder="1" applyAlignment="1">
      <alignment horizontal="justify" vertical="center" wrapText="1"/>
    </xf>
    <xf numFmtId="3" fontId="36" fillId="5" borderId="1" xfId="1" applyNumberFormat="1" applyFont="1" applyFill="1" applyBorder="1" applyAlignment="1">
      <alignment horizontal="center" vertical="center" shrinkToFit="1"/>
    </xf>
    <xf numFmtId="9" fontId="7" fillId="5" borderId="1" xfId="3" applyFont="1" applyFill="1" applyBorder="1" applyAlignment="1">
      <alignment horizontal="center" vertical="center" wrapText="1"/>
    </xf>
    <xf numFmtId="3" fontId="36" fillId="0" borderId="1" xfId="1" applyNumberFormat="1" applyFont="1" applyBorder="1" applyAlignment="1">
      <alignment horizontal="center" vertical="center" shrinkToFit="1"/>
    </xf>
    <xf numFmtId="9" fontId="7" fillId="0" borderId="1" xfId="3" applyFont="1" applyFill="1" applyBorder="1" applyAlignment="1">
      <alignment horizontal="center" vertical="center" wrapText="1"/>
    </xf>
    <xf numFmtId="3" fontId="36" fillId="0" borderId="1" xfId="1" applyNumberFormat="1" applyFont="1" applyFill="1" applyBorder="1" applyAlignment="1">
      <alignment horizontal="center" vertical="center" shrinkToFit="1"/>
    </xf>
    <xf numFmtId="43" fontId="13" fillId="0" borderId="1" xfId="0" applyNumberFormat="1" applyFont="1" applyFill="1" applyBorder="1" applyAlignment="1">
      <alignment horizontal="center" vertical="center"/>
    </xf>
    <xf numFmtId="43" fontId="13"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76" fillId="0" borderId="1" xfId="0" applyFont="1" applyFill="1" applyBorder="1" applyAlignment="1">
      <alignment horizontal="center" vertical="center" wrapText="1"/>
    </xf>
    <xf numFmtId="0" fontId="62" fillId="3" borderId="1" xfId="0" applyFont="1" applyFill="1" applyBorder="1" applyAlignment="1">
      <alignment horizontal="center" vertical="center"/>
    </xf>
    <xf numFmtId="0" fontId="91" fillId="0" borderId="1" xfId="0" applyFont="1" applyFill="1" applyBorder="1" applyAlignment="1">
      <alignment horizontal="center" vertical="center"/>
    </xf>
    <xf numFmtId="0" fontId="63" fillId="0" borderId="52" xfId="0" applyFont="1" applyFill="1" applyBorder="1" applyAlignment="1">
      <alignment horizontal="center" vertical="center"/>
    </xf>
    <xf numFmtId="0" fontId="63" fillId="0" borderId="1" xfId="0" applyFont="1" applyFill="1" applyBorder="1" applyAlignment="1">
      <alignment horizontal="center" vertical="center"/>
    </xf>
    <xf numFmtId="0" fontId="63" fillId="0" borderId="51" xfId="0" applyFont="1" applyFill="1" applyBorder="1" applyAlignment="1">
      <alignment horizontal="center" vertical="center"/>
    </xf>
    <xf numFmtId="0" fontId="55" fillId="3" borderId="1" xfId="0" applyFont="1" applyFill="1" applyBorder="1" applyAlignment="1">
      <alignment horizontal="center" vertical="center"/>
    </xf>
    <xf numFmtId="0" fontId="83" fillId="0" borderId="1" xfId="0" applyFont="1" applyFill="1" applyBorder="1" applyAlignment="1">
      <alignment horizontal="center" vertical="center" wrapText="1"/>
    </xf>
    <xf numFmtId="0" fontId="58" fillId="0" borderId="1" xfId="0" applyFont="1" applyFill="1" applyBorder="1" applyAlignment="1">
      <alignment horizontal="left" vertical="center" wrapText="1"/>
    </xf>
    <xf numFmtId="0" fontId="66" fillId="0" borderId="51" xfId="0" applyFont="1" applyFill="1" applyBorder="1" applyAlignment="1">
      <alignment horizontal="center" vertical="center" wrapText="1"/>
    </xf>
    <xf numFmtId="0" fontId="66" fillId="0" borderId="24" xfId="0" applyFont="1" applyFill="1" applyBorder="1" applyAlignment="1">
      <alignment horizontal="center" vertical="center" wrapText="1"/>
    </xf>
    <xf numFmtId="0" fontId="66" fillId="0" borderId="52"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89" fillId="11" borderId="1" xfId="0" applyFont="1" applyFill="1" applyBorder="1" applyAlignment="1">
      <alignment horizontal="center" vertical="center" wrapText="1"/>
    </xf>
    <xf numFmtId="3" fontId="39" fillId="0" borderId="1" xfId="1" applyNumberFormat="1" applyFont="1" applyBorder="1" applyAlignment="1">
      <alignment horizontal="center" vertical="center" wrapText="1"/>
    </xf>
    <xf numFmtId="9" fontId="76" fillId="0" borderId="1" xfId="3" applyNumberFormat="1" applyFont="1" applyFill="1" applyBorder="1" applyAlignment="1">
      <alignment horizontal="center" vertical="center" wrapText="1"/>
    </xf>
    <xf numFmtId="0" fontId="51" fillId="11" borderId="1" xfId="0" applyFont="1" applyFill="1" applyBorder="1" applyAlignment="1">
      <alignment horizontal="left" vertical="center" wrapText="1"/>
    </xf>
    <xf numFmtId="3" fontId="36" fillId="5" borderId="1" xfId="1" applyNumberFormat="1" applyFont="1" applyFill="1" applyBorder="1" applyAlignment="1">
      <alignment horizontal="center" vertical="center" wrapText="1"/>
    </xf>
    <xf numFmtId="10" fontId="7" fillId="5" borderId="1" xfId="4" applyNumberFormat="1" applyFont="1" applyFill="1" applyBorder="1" applyAlignment="1">
      <alignment horizontal="center" vertical="center" wrapText="1"/>
    </xf>
    <xf numFmtId="3" fontId="36" fillId="0" borderId="1" xfId="1" applyNumberFormat="1" applyFont="1" applyBorder="1" applyAlignment="1">
      <alignment horizontal="center" vertical="center" wrapText="1"/>
    </xf>
    <xf numFmtId="0" fontId="51" fillId="2" borderId="1" xfId="0" applyFont="1" applyFill="1" applyBorder="1" applyAlignment="1">
      <alignment horizontal="left" vertical="center" wrapText="1"/>
    </xf>
    <xf numFmtId="43" fontId="9" fillId="0" borderId="1" xfId="0" applyNumberFormat="1" applyFont="1" applyFill="1" applyBorder="1" applyAlignment="1">
      <alignment horizontal="center" vertical="center"/>
    </xf>
    <xf numFmtId="43"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65" fillId="0" borderId="1" xfId="0" applyFont="1" applyFill="1" applyBorder="1" applyAlignment="1">
      <alignment horizontal="center" vertical="center"/>
    </xf>
    <xf numFmtId="0" fontId="3" fillId="0" borderId="51"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52" xfId="0" applyFont="1" applyFill="1" applyBorder="1" applyAlignment="1">
      <alignment horizontal="left" vertical="center" wrapText="1"/>
    </xf>
    <xf numFmtId="0" fontId="7" fillId="0" borderId="51" xfId="0" applyFont="1" applyFill="1" applyBorder="1" applyAlignment="1">
      <alignment horizontal="justify" vertical="center" wrapText="1"/>
    </xf>
    <xf numFmtId="0" fontId="7" fillId="0" borderId="24" xfId="0" applyFont="1" applyFill="1" applyBorder="1" applyAlignment="1">
      <alignment horizontal="justify" vertical="center" wrapText="1"/>
    </xf>
    <xf numFmtId="0" fontId="7" fillId="0" borderId="52" xfId="0" applyFont="1" applyFill="1" applyBorder="1" applyAlignment="1">
      <alignment horizontal="justify" vertical="center" wrapText="1"/>
    </xf>
    <xf numFmtId="0" fontId="67" fillId="0" borderId="0" xfId="0" applyFont="1" applyAlignment="1">
      <alignment horizontal="center" vertical="center"/>
    </xf>
    <xf numFmtId="9" fontId="7" fillId="0" borderId="1" xfId="3" applyFont="1" applyBorder="1" applyAlignment="1">
      <alignment horizontal="center" vertical="center" wrapText="1"/>
    </xf>
    <xf numFmtId="0" fontId="40" fillId="0" borderId="1" xfId="0" applyFont="1" applyBorder="1" applyAlignment="1">
      <alignment horizontal="center" vertical="center" wrapText="1"/>
    </xf>
    <xf numFmtId="0" fontId="53" fillId="5" borderId="1" xfId="0" applyFont="1" applyFill="1" applyBorder="1" applyAlignment="1">
      <alignment horizontal="center" vertical="center" shrinkToFit="1"/>
    </xf>
    <xf numFmtId="9" fontId="76" fillId="5" borderId="1" xfId="3" applyFont="1" applyFill="1" applyBorder="1" applyAlignment="1">
      <alignment horizontal="center" vertical="center" wrapText="1"/>
    </xf>
    <xf numFmtId="0" fontId="53" fillId="0" borderId="1" xfId="0" applyFont="1" applyFill="1" applyBorder="1" applyAlignment="1">
      <alignment horizontal="center" vertical="center" shrinkToFit="1"/>
    </xf>
    <xf numFmtId="9" fontId="76" fillId="0" borderId="1" xfId="3" applyFont="1" applyBorder="1" applyAlignment="1">
      <alignment horizontal="center" vertical="center" wrapText="1"/>
    </xf>
    <xf numFmtId="43" fontId="41" fillId="0" borderId="1" xfId="1" applyFont="1" applyBorder="1" applyAlignment="1">
      <alignment horizontal="center" vertical="center" shrinkToFit="1"/>
    </xf>
    <xf numFmtId="9" fontId="66" fillId="0" borderId="1" xfId="3" applyFont="1" applyBorder="1" applyAlignment="1">
      <alignment horizontal="center" vertical="center" wrapText="1"/>
    </xf>
    <xf numFmtId="9" fontId="66" fillId="0" borderId="3" xfId="3" applyFont="1" applyBorder="1" applyAlignment="1">
      <alignment horizontal="center" vertical="center" wrapText="1"/>
    </xf>
    <xf numFmtId="9" fontId="66" fillId="0" borderId="2" xfId="3" applyFont="1" applyBorder="1" applyAlignment="1">
      <alignment horizontal="center" vertical="center" wrapText="1"/>
    </xf>
    <xf numFmtId="9" fontId="8" fillId="0" borderId="1" xfId="3" applyFont="1" applyFill="1" applyBorder="1" applyAlignment="1">
      <alignment horizontal="center" vertical="center" wrapText="1"/>
    </xf>
    <xf numFmtId="0" fontId="51" fillId="0" borderId="1" xfId="0" applyFont="1" applyFill="1" applyBorder="1" applyAlignment="1">
      <alignment horizontal="left" vertical="center" wrapText="1"/>
    </xf>
    <xf numFmtId="0" fontId="3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63" fillId="0" borderId="2" xfId="0" applyFont="1" applyFill="1" applyBorder="1" applyAlignment="1">
      <alignment horizontal="center" vertical="center"/>
    </xf>
    <xf numFmtId="0" fontId="63" fillId="0" borderId="29" xfId="0" applyFont="1" applyFill="1" applyBorder="1" applyAlignment="1">
      <alignment horizontal="center" vertical="center"/>
    </xf>
    <xf numFmtId="0" fontId="1" fillId="0" borderId="1" xfId="0" applyFont="1" applyFill="1" applyBorder="1" applyAlignment="1">
      <alignment horizontal="center" vertical="center" wrapText="1"/>
    </xf>
    <xf numFmtId="0" fontId="58" fillId="0" borderId="1" xfId="0" applyFont="1" applyBorder="1" applyAlignment="1">
      <alignment horizontal="left" vertical="center" wrapText="1"/>
    </xf>
    <xf numFmtId="43" fontId="82" fillId="5" borderId="1" xfId="1" applyFont="1" applyFill="1" applyBorder="1" applyAlignment="1">
      <alignment horizontal="center" vertical="center" wrapText="1"/>
    </xf>
    <xf numFmtId="10" fontId="76" fillId="0" borderId="1" xfId="3" applyNumberFormat="1" applyFont="1" applyFill="1" applyBorder="1" applyAlignment="1">
      <alignment horizontal="center" vertical="center" wrapText="1"/>
    </xf>
    <xf numFmtId="0" fontId="68" fillId="0" borderId="24" xfId="0" applyFont="1" applyBorder="1" applyAlignment="1">
      <alignment horizontal="left" vertical="center" wrapText="1"/>
    </xf>
    <xf numFmtId="0" fontId="68" fillId="0" borderId="52" xfId="0" applyFont="1" applyBorder="1" applyAlignment="1">
      <alignment horizontal="left" vertical="center" wrapText="1"/>
    </xf>
    <xf numFmtId="0" fontId="6" fillId="0" borderId="51"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51" fillId="0" borderId="1" xfId="0" applyFont="1" applyFill="1" applyBorder="1" applyAlignment="1">
      <alignment horizontal="justify" vertical="center" wrapText="1"/>
    </xf>
    <xf numFmtId="0" fontId="22" fillId="5" borderId="1"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9" fontId="7" fillId="0" borderId="1" xfId="3" applyFont="1" applyFill="1" applyBorder="1" applyAlignment="1">
      <alignment horizontal="center" vertical="center" shrinkToFit="1"/>
    </xf>
    <xf numFmtId="3" fontId="36" fillId="2" borderId="1" xfId="1" applyNumberFormat="1" applyFont="1" applyFill="1" applyBorder="1" applyAlignment="1">
      <alignment horizontal="center" vertical="center" shrinkToFit="1"/>
    </xf>
    <xf numFmtId="9" fontId="7" fillId="2" borderId="1" xfId="3" applyFont="1" applyFill="1" applyBorder="1" applyAlignment="1">
      <alignment horizontal="center" vertical="center" wrapText="1"/>
    </xf>
    <xf numFmtId="9" fontId="7" fillId="2" borderId="1" xfId="3" applyFont="1" applyFill="1" applyBorder="1" applyAlignment="1">
      <alignment horizontal="center" vertical="center" shrinkToFit="1"/>
    </xf>
    <xf numFmtId="3" fontId="3" fillId="5" borderId="1" xfId="1" applyNumberFormat="1" applyFont="1" applyFill="1" applyBorder="1" applyAlignment="1">
      <alignment horizontal="center" vertical="center" shrinkToFit="1"/>
    </xf>
    <xf numFmtId="3" fontId="3" fillId="0" borderId="1" xfId="1" applyNumberFormat="1" applyFont="1" applyFill="1" applyBorder="1" applyAlignment="1">
      <alignment horizontal="center" vertical="center" shrinkToFit="1"/>
    </xf>
    <xf numFmtId="3" fontId="3" fillId="2" borderId="1" xfId="1" applyNumberFormat="1" applyFont="1" applyFill="1" applyBorder="1" applyAlignment="1">
      <alignment horizontal="center" vertical="center" shrinkToFit="1"/>
    </xf>
    <xf numFmtId="0" fontId="34" fillId="0" borderId="1" xfId="0" applyFont="1" applyFill="1" applyBorder="1" applyAlignment="1">
      <alignment horizontal="justify" vertical="center" wrapText="1"/>
    </xf>
    <xf numFmtId="0" fontId="34" fillId="0" borderId="1" xfId="0" applyFont="1" applyFill="1" applyBorder="1" applyAlignment="1">
      <alignment horizontal="center" vertical="center" shrinkToFit="1"/>
    </xf>
    <xf numFmtId="0" fontId="3"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79" fillId="0" borderId="1" xfId="0" applyFont="1" applyBorder="1" applyAlignment="1">
      <alignment horizontal="center" vertical="center" wrapText="1"/>
    </xf>
    <xf numFmtId="0" fontId="90" fillId="5" borderId="1" xfId="0" applyFont="1" applyFill="1" applyBorder="1" applyAlignment="1">
      <alignment horizontal="center" vertical="center" wrapText="1"/>
    </xf>
    <xf numFmtId="43" fontId="80" fillId="5" borderId="1" xfId="1" applyFont="1" applyFill="1" applyBorder="1" applyAlignment="1">
      <alignment horizontal="center" vertical="center" wrapText="1"/>
    </xf>
    <xf numFmtId="9" fontId="81" fillId="5" borderId="1" xfId="3" applyFont="1" applyFill="1" applyBorder="1" applyAlignment="1">
      <alignment horizontal="center" vertical="center" wrapText="1"/>
    </xf>
    <xf numFmtId="0" fontId="90" fillId="0" borderId="1" xfId="0" applyFont="1" applyBorder="1" applyAlignment="1">
      <alignment horizontal="center" vertical="center" wrapText="1"/>
    </xf>
    <xf numFmtId="9" fontId="81" fillId="0" borderId="1" xfId="3" applyFont="1" applyFill="1" applyBorder="1" applyAlignment="1">
      <alignment horizontal="center" vertical="center" wrapText="1"/>
    </xf>
    <xf numFmtId="10" fontId="81" fillId="0" borderId="1" xfId="3" applyNumberFormat="1" applyFont="1" applyFill="1" applyBorder="1" applyAlignment="1">
      <alignment horizontal="center" vertical="center" wrapText="1"/>
    </xf>
    <xf numFmtId="0" fontId="75" fillId="0" borderId="1" xfId="0" applyFont="1" applyBorder="1" applyAlignment="1">
      <alignment horizontal="left" vertical="center" wrapText="1"/>
    </xf>
    <xf numFmtId="0" fontId="86" fillId="11" borderId="1" xfId="0" applyFont="1" applyFill="1" applyBorder="1" applyAlignment="1">
      <alignment horizontal="left" vertical="center" wrapText="1"/>
    </xf>
    <xf numFmtId="0" fontId="84" fillId="5" borderId="1" xfId="0" applyFont="1" applyFill="1" applyBorder="1" applyAlignment="1">
      <alignment horizontal="center" vertical="center" wrapText="1"/>
    </xf>
    <xf numFmtId="3" fontId="85" fillId="5" borderId="1" xfId="1" applyNumberFormat="1" applyFont="1" applyFill="1" applyBorder="1" applyAlignment="1">
      <alignment horizontal="center" vertical="center" wrapText="1"/>
    </xf>
    <xf numFmtId="9" fontId="72" fillId="5" borderId="1" xfId="3" applyFont="1" applyFill="1" applyBorder="1" applyAlignment="1">
      <alignment horizontal="center" vertical="center" wrapText="1"/>
    </xf>
    <xf numFmtId="0" fontId="86" fillId="11" borderId="1" xfId="0" applyFont="1" applyFill="1" applyBorder="1" applyAlignment="1">
      <alignment horizontal="center" vertical="center" wrapText="1"/>
    </xf>
    <xf numFmtId="9" fontId="72" fillId="0" borderId="1" xfId="3" applyFont="1" applyFill="1" applyBorder="1" applyAlignment="1">
      <alignment horizontal="center" vertical="center" wrapText="1"/>
    </xf>
    <xf numFmtId="10" fontId="72" fillId="0" borderId="1" xfId="3" applyNumberFormat="1" applyFont="1" applyFill="1" applyBorder="1" applyAlignment="1">
      <alignment horizontal="center" vertical="center" wrapText="1"/>
    </xf>
    <xf numFmtId="0" fontId="86" fillId="0" borderId="1" xfId="0" applyFont="1" applyFill="1" applyBorder="1" applyAlignment="1">
      <alignment horizontal="left" vertical="center" wrapText="1"/>
    </xf>
    <xf numFmtId="0" fontId="74" fillId="0" borderId="1" xfId="0" applyFont="1" applyFill="1" applyBorder="1" applyAlignment="1">
      <alignment horizontal="center" vertical="center" wrapText="1"/>
    </xf>
    <xf numFmtId="0" fontId="74" fillId="0" borderId="1" xfId="0" applyFont="1" applyFill="1" applyBorder="1" applyAlignment="1">
      <alignment horizontal="justify" vertical="center" wrapText="1"/>
    </xf>
    <xf numFmtId="0" fontId="78" fillId="0" borderId="1" xfId="0" applyFont="1" applyFill="1" applyBorder="1" applyAlignment="1">
      <alignment horizontal="center" vertical="center" wrapText="1"/>
    </xf>
    <xf numFmtId="0" fontId="73" fillId="0" borderId="1" xfId="0" applyFont="1" applyFill="1" applyBorder="1" applyAlignment="1">
      <alignment horizontal="center" vertical="center" wrapText="1"/>
    </xf>
    <xf numFmtId="0" fontId="64" fillId="3" borderId="1" xfId="0" applyFont="1" applyFill="1" applyBorder="1" applyAlignment="1">
      <alignment horizontal="center" vertical="center"/>
    </xf>
    <xf numFmtId="0" fontId="70"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53" fillId="0" borderId="1" xfId="0" applyFont="1" applyFill="1" applyBorder="1" applyAlignment="1">
      <alignment horizontal="center" vertical="center" wrapText="1"/>
    </xf>
    <xf numFmtId="3" fontId="39" fillId="0" borderId="1" xfId="1" applyNumberFormat="1" applyFont="1" applyFill="1" applyBorder="1" applyAlignment="1">
      <alignment horizontal="center" vertical="center" shrinkToFit="1"/>
    </xf>
    <xf numFmtId="3" fontId="36" fillId="0" borderId="1" xfId="1" applyNumberFormat="1" applyFont="1" applyFill="1" applyBorder="1" applyAlignment="1">
      <alignment horizontal="center" vertical="center" wrapText="1"/>
    </xf>
    <xf numFmtId="10" fontId="7" fillId="0" borderId="1" xfId="4" applyNumberFormat="1" applyFont="1" applyFill="1" applyBorder="1" applyAlignment="1">
      <alignment horizontal="center" vertical="center" wrapText="1"/>
    </xf>
    <xf numFmtId="0" fontId="10" fillId="0" borderId="1" xfId="0" applyFont="1" applyFill="1" applyBorder="1" applyAlignment="1">
      <alignment horizontal="justify" vertical="center" wrapText="1"/>
    </xf>
    <xf numFmtId="0" fontId="69" fillId="0" borderId="0" xfId="0" applyFont="1" applyFill="1" applyBorder="1" applyAlignment="1">
      <alignment horizontal="center" vertical="center"/>
    </xf>
    <xf numFmtId="0" fontId="71" fillId="0" borderId="0" xfId="0" applyFont="1" applyFill="1" applyBorder="1" applyAlignment="1">
      <alignment horizontal="center"/>
    </xf>
    <xf numFmtId="0" fontId="63" fillId="0" borderId="0" xfId="0" applyFont="1" applyFill="1" applyBorder="1" applyAlignment="1">
      <alignment horizontal="center" vertical="center"/>
    </xf>
    <xf numFmtId="0" fontId="63" fillId="0" borderId="53" xfId="0" applyFont="1" applyFill="1" applyBorder="1" applyAlignment="1">
      <alignment horizontal="center" vertical="center"/>
    </xf>
    <xf numFmtId="0" fontId="48" fillId="0" borderId="41" xfId="0" applyFont="1" applyBorder="1" applyAlignment="1">
      <alignment horizontal="center"/>
    </xf>
    <xf numFmtId="0" fontId="48" fillId="0" borderId="42" xfId="0" applyFont="1" applyBorder="1" applyAlignment="1">
      <alignment horizontal="center"/>
    </xf>
    <xf numFmtId="0" fontId="48" fillId="0" borderId="43" xfId="0" applyFont="1" applyBorder="1" applyAlignment="1">
      <alignment horizontal="center"/>
    </xf>
    <xf numFmtId="0" fontId="48" fillId="0" borderId="16" xfId="0" applyFont="1" applyBorder="1" applyAlignment="1">
      <alignment horizontal="center"/>
    </xf>
    <xf numFmtId="0" fontId="48" fillId="0" borderId="1" xfId="0" applyFont="1" applyBorder="1" applyAlignment="1">
      <alignment horizontal="center"/>
    </xf>
    <xf numFmtId="0" fontId="48" fillId="0" borderId="17" xfId="0" applyFont="1" applyBorder="1" applyAlignment="1">
      <alignment horizontal="center"/>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7" fillId="0" borderId="15" xfId="0" applyFont="1" applyBorder="1" applyAlignment="1">
      <alignment horizontal="center" vertical="center" wrapText="1"/>
    </xf>
    <xf numFmtId="0" fontId="37" fillId="0" borderId="16" xfId="0" applyFont="1" applyBorder="1" applyAlignment="1">
      <alignment horizontal="center" vertical="center" wrapText="1"/>
    </xf>
    <xf numFmtId="0" fontId="59" fillId="11" borderId="2" xfId="0" applyFont="1" applyFill="1" applyBorder="1" applyAlignment="1">
      <alignment horizontal="center" vertical="center" wrapText="1"/>
    </xf>
    <xf numFmtId="0" fontId="59" fillId="11" borderId="1" xfId="0" applyFont="1" applyFill="1" applyBorder="1" applyAlignment="1">
      <alignment horizontal="center" vertical="center" wrapText="1"/>
    </xf>
    <xf numFmtId="0" fontId="22" fillId="5" borderId="2" xfId="0" applyFont="1" applyFill="1" applyBorder="1" applyAlignment="1">
      <alignment horizontal="center" vertical="center" wrapText="1"/>
    </xf>
    <xf numFmtId="3" fontId="38" fillId="0" borderId="2" xfId="1" applyNumberFormat="1" applyFont="1" applyFill="1" applyBorder="1" applyAlignment="1">
      <alignment horizontal="center" vertical="center" wrapText="1"/>
    </xf>
    <xf numFmtId="3" fontId="38" fillId="0" borderId="1" xfId="1" applyNumberFormat="1" applyFont="1" applyFill="1" applyBorder="1" applyAlignment="1">
      <alignment horizontal="center" vertical="center" wrapText="1"/>
    </xf>
    <xf numFmtId="3" fontId="38" fillId="0" borderId="1" xfId="1" applyNumberFormat="1" applyFont="1" applyBorder="1" applyAlignment="1">
      <alignment horizontal="center" vertical="center" wrapText="1"/>
    </xf>
    <xf numFmtId="0" fontId="3" fillId="0" borderId="18" xfId="0" applyFont="1" applyFill="1" applyBorder="1" applyAlignment="1">
      <alignment horizontal="justify" vertical="center" wrapText="1"/>
    </xf>
    <xf numFmtId="0" fontId="3" fillId="0" borderId="24" xfId="0" applyFont="1" applyFill="1" applyBorder="1" applyAlignment="1">
      <alignment horizontal="justify" vertical="center" wrapText="1"/>
    </xf>
    <xf numFmtId="0" fontId="3" fillId="0" borderId="6" xfId="0" applyFont="1" applyFill="1" applyBorder="1" applyAlignment="1">
      <alignment horizontal="justify" vertical="center" wrapText="1"/>
    </xf>
    <xf numFmtId="0" fontId="27"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7" fillId="11"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20" fillId="0" borderId="0" xfId="0" applyFont="1" applyFill="1" applyBorder="1" applyAlignment="1">
      <alignment horizontal="center"/>
    </xf>
    <xf numFmtId="0" fontId="57" fillId="0" borderId="50" xfId="0" applyFont="1" applyFill="1" applyBorder="1" applyAlignment="1">
      <alignment horizontal="left" vertical="center" wrapText="1"/>
    </xf>
    <xf numFmtId="0" fontId="57" fillId="0" borderId="0" xfId="0" applyFont="1" applyFill="1" applyBorder="1" applyAlignment="1">
      <alignment horizontal="left" vertical="center" wrapText="1"/>
    </xf>
    <xf numFmtId="9" fontId="9" fillId="0" borderId="3" xfId="3" applyFont="1" applyFill="1" applyBorder="1" applyAlignment="1">
      <alignment horizontal="center" vertical="center" wrapText="1"/>
    </xf>
    <xf numFmtId="9" fontId="9" fillId="0" borderId="2" xfId="3" applyFont="1" applyFill="1" applyBorder="1" applyAlignment="1">
      <alignment horizontal="center" vertical="center" wrapText="1"/>
    </xf>
    <xf numFmtId="10" fontId="3" fillId="0" borderId="28" xfId="3" applyNumberFormat="1" applyFont="1" applyFill="1" applyBorder="1" applyAlignment="1">
      <alignment horizontal="center" vertical="center" wrapText="1"/>
    </xf>
    <xf numFmtId="10" fontId="3" fillId="0" borderId="29" xfId="3" applyNumberFormat="1" applyFont="1" applyFill="1" applyBorder="1" applyAlignment="1">
      <alignment horizontal="center" vertical="center" wrapText="1"/>
    </xf>
    <xf numFmtId="10" fontId="3" fillId="0" borderId="26" xfId="3" applyNumberFormat="1" applyFont="1" applyFill="1" applyBorder="1" applyAlignment="1">
      <alignment horizontal="center" vertical="center" wrapText="1"/>
    </xf>
    <xf numFmtId="10" fontId="3" fillId="0" borderId="22" xfId="3" applyNumberFormat="1" applyFont="1" applyFill="1" applyBorder="1" applyAlignment="1">
      <alignment horizontal="center" vertical="center" wrapText="1"/>
    </xf>
    <xf numFmtId="9" fontId="6" fillId="0" borderId="1" xfId="3" applyFont="1" applyFill="1" applyBorder="1" applyAlignment="1">
      <alignment horizontal="center" vertical="center" wrapText="1"/>
    </xf>
    <xf numFmtId="9" fontId="7" fillId="0" borderId="17" xfId="3" applyFont="1" applyFill="1" applyBorder="1" applyAlignment="1">
      <alignment horizontal="center" vertical="center" wrapText="1"/>
    </xf>
    <xf numFmtId="9" fontId="9" fillId="0" borderId="1" xfId="3" applyFont="1" applyFill="1" applyBorder="1" applyAlignment="1">
      <alignment horizontal="center" vertical="center" wrapText="1"/>
    </xf>
    <xf numFmtId="10" fontId="3" fillId="0" borderId="1" xfId="3" applyNumberFormat="1" applyFont="1" applyFill="1" applyBorder="1" applyAlignment="1">
      <alignment horizontal="center" vertical="center" wrapText="1"/>
    </xf>
    <xf numFmtId="9" fontId="6" fillId="0" borderId="2" xfId="3" applyFont="1" applyFill="1" applyBorder="1" applyAlignment="1">
      <alignment horizontal="center" vertical="center" wrapText="1"/>
    </xf>
    <xf numFmtId="9" fontId="7" fillId="0" borderId="22" xfId="3" applyFont="1" applyFill="1" applyBorder="1" applyAlignment="1">
      <alignment horizontal="center" vertical="center" wrapText="1"/>
    </xf>
    <xf numFmtId="9" fontId="11" fillId="0" borderId="3" xfId="3" applyFont="1" applyFill="1" applyBorder="1" applyAlignment="1">
      <alignment horizontal="center" vertical="center" wrapText="1"/>
    </xf>
    <xf numFmtId="9" fontId="11" fillId="0" borderId="2" xfId="3" applyFont="1" applyFill="1" applyBorder="1" applyAlignment="1">
      <alignment horizontal="center" vertical="center" wrapText="1"/>
    </xf>
    <xf numFmtId="0" fontId="30" fillId="0" borderId="1" xfId="0" applyFont="1" applyFill="1" applyBorder="1" applyAlignment="1">
      <alignment horizontal="center" vertical="center"/>
    </xf>
    <xf numFmtId="0" fontId="30" fillId="0" borderId="18" xfId="0" applyFont="1" applyFill="1" applyBorder="1" applyAlignment="1">
      <alignment horizontal="center" vertical="center"/>
    </xf>
    <xf numFmtId="0" fontId="30" fillId="0" borderId="24" xfId="0" applyFont="1" applyFill="1" applyBorder="1" applyAlignment="1">
      <alignment horizontal="center" vertical="center"/>
    </xf>
    <xf numFmtId="0" fontId="30" fillId="0" borderId="6" xfId="0" applyFont="1" applyFill="1" applyBorder="1" applyAlignment="1">
      <alignment horizontal="center" vertical="center"/>
    </xf>
    <xf numFmtId="43" fontId="56" fillId="0" borderId="18" xfId="0" applyNumberFormat="1" applyFont="1" applyFill="1" applyBorder="1" applyAlignment="1">
      <alignment horizontal="center" vertical="center"/>
    </xf>
    <xf numFmtId="43" fontId="56" fillId="0" borderId="24" xfId="0" applyNumberFormat="1" applyFont="1" applyFill="1" applyBorder="1" applyAlignment="1">
      <alignment horizontal="center" vertical="center"/>
    </xf>
    <xf numFmtId="43" fontId="56" fillId="0" borderId="6" xfId="0" applyNumberFormat="1" applyFont="1" applyFill="1" applyBorder="1" applyAlignment="1">
      <alignment horizontal="center" vertical="center"/>
    </xf>
    <xf numFmtId="43" fontId="56" fillId="0" borderId="18" xfId="0" applyNumberFormat="1" applyFont="1" applyFill="1" applyBorder="1" applyAlignment="1">
      <alignment horizontal="justify" vertical="center" wrapText="1"/>
    </xf>
    <xf numFmtId="43" fontId="56" fillId="0" borderId="24" xfId="0" applyNumberFormat="1" applyFont="1" applyFill="1" applyBorder="1" applyAlignment="1">
      <alignment horizontal="justify" vertical="center" wrapText="1"/>
    </xf>
    <xf numFmtId="43" fontId="56" fillId="0" borderId="6" xfId="0" applyNumberFormat="1" applyFont="1" applyFill="1" applyBorder="1" applyAlignment="1">
      <alignment horizontal="justify" vertical="center" wrapText="1"/>
    </xf>
    <xf numFmtId="43" fontId="31" fillId="0" borderId="18" xfId="0" applyNumberFormat="1" applyFont="1" applyFill="1" applyBorder="1" applyAlignment="1">
      <alignment horizontal="center" vertical="center"/>
    </xf>
    <xf numFmtId="43" fontId="31" fillId="0" borderId="24" xfId="0" applyNumberFormat="1" applyFont="1" applyFill="1" applyBorder="1" applyAlignment="1">
      <alignment horizontal="center" vertical="center"/>
    </xf>
    <xf numFmtId="43" fontId="31" fillId="0" borderId="6" xfId="0" applyNumberFormat="1" applyFont="1" applyFill="1" applyBorder="1" applyAlignment="1">
      <alignment horizontal="center" vertical="center"/>
    </xf>
    <xf numFmtId="43" fontId="31" fillId="0" borderId="18" xfId="0" applyNumberFormat="1" applyFont="1" applyFill="1" applyBorder="1" applyAlignment="1">
      <alignment horizontal="left" vertical="center"/>
    </xf>
    <xf numFmtId="43" fontId="31" fillId="0" borderId="24" xfId="0" applyNumberFormat="1" applyFont="1" applyFill="1" applyBorder="1" applyAlignment="1">
      <alignment horizontal="left" vertical="center"/>
    </xf>
    <xf numFmtId="43" fontId="31" fillId="0" borderId="6" xfId="0" applyNumberFormat="1" applyFont="1" applyFill="1" applyBorder="1" applyAlignment="1">
      <alignment horizontal="left" vertical="center"/>
    </xf>
    <xf numFmtId="0" fontId="28" fillId="3" borderId="25" xfId="0" applyFont="1" applyFill="1" applyBorder="1" applyAlignment="1">
      <alignment horizontal="center" vertical="center"/>
    </xf>
    <xf numFmtId="0" fontId="28" fillId="3" borderId="0" xfId="0" applyFont="1" applyFill="1" applyBorder="1" applyAlignment="1">
      <alignment horizontal="center" vertical="center"/>
    </xf>
    <xf numFmtId="0" fontId="59" fillId="0" borderId="1"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7" fillId="11" borderId="3" xfId="0" applyFont="1" applyFill="1" applyBorder="1" applyAlignment="1">
      <alignment horizontal="center" vertical="center" wrapText="1"/>
    </xf>
    <xf numFmtId="0" fontId="27" fillId="11" borderId="2" xfId="0" applyFont="1" applyFill="1" applyBorder="1" applyAlignment="1">
      <alignment horizontal="center" vertical="center" wrapText="1"/>
    </xf>
    <xf numFmtId="0" fontId="59" fillId="11" borderId="3" xfId="0" applyFont="1" applyFill="1" applyBorder="1" applyAlignment="1">
      <alignment horizontal="center" vertical="center" wrapText="1"/>
    </xf>
    <xf numFmtId="0" fontId="59" fillId="11" borderId="7" xfId="0" applyFont="1" applyFill="1" applyBorder="1" applyAlignment="1">
      <alignment horizontal="center" vertical="center" wrapText="1"/>
    </xf>
    <xf numFmtId="0" fontId="40" fillId="0" borderId="32" xfId="0" applyFont="1" applyBorder="1" applyAlignment="1">
      <alignment horizontal="center" vertical="center" wrapText="1"/>
    </xf>
    <xf numFmtId="0" fontId="40" fillId="0" borderId="33" xfId="0" applyFont="1" applyBorder="1" applyAlignment="1">
      <alignment horizontal="center" vertical="center" wrapText="1"/>
    </xf>
    <xf numFmtId="0" fontId="40" fillId="0" borderId="34" xfId="0" applyFont="1" applyBorder="1" applyAlignment="1">
      <alignment horizontal="center" vertical="center" wrapText="1"/>
    </xf>
    <xf numFmtId="0" fontId="40" fillId="0" borderId="0" xfId="0" applyFont="1" applyBorder="1" applyAlignment="1">
      <alignment horizontal="center" vertical="center" wrapText="1"/>
    </xf>
    <xf numFmtId="0" fontId="40" fillId="0" borderId="27" xfId="0" applyFont="1" applyBorder="1" applyAlignment="1">
      <alignment horizontal="center" vertical="center" wrapText="1"/>
    </xf>
    <xf numFmtId="0" fontId="40" fillId="0" borderId="35" xfId="0" applyFont="1" applyBorder="1" applyAlignment="1">
      <alignment horizontal="center" vertical="center" wrapText="1"/>
    </xf>
    <xf numFmtId="0" fontId="40" fillId="0" borderId="36" xfId="0" applyFont="1" applyBorder="1" applyAlignment="1">
      <alignment horizontal="center" vertical="center" wrapText="1"/>
    </xf>
    <xf numFmtId="0" fontId="41" fillId="5" borderId="37" xfId="0" applyFont="1" applyFill="1" applyBorder="1" applyAlignment="1">
      <alignment horizontal="center" vertical="center" wrapText="1"/>
    </xf>
    <xf numFmtId="0" fontId="41" fillId="5" borderId="38" xfId="0" applyFont="1" applyFill="1" applyBorder="1" applyAlignment="1">
      <alignment horizontal="center" vertical="center" wrapText="1"/>
    </xf>
    <xf numFmtId="43" fontId="37" fillId="0" borderId="4" xfId="1" applyFont="1" applyFill="1" applyBorder="1" applyAlignment="1">
      <alignment horizontal="center" vertical="center" wrapText="1"/>
    </xf>
    <xf numFmtId="43" fontId="37" fillId="0" borderId="5" xfId="1" applyFont="1" applyFill="1" applyBorder="1" applyAlignment="1">
      <alignment horizontal="center" vertical="center" wrapText="1"/>
    </xf>
    <xf numFmtId="9" fontId="10" fillId="0" borderId="14" xfId="3" applyFont="1" applyFill="1" applyBorder="1" applyAlignment="1">
      <alignment horizontal="center" vertical="center" wrapText="1"/>
    </xf>
    <xf numFmtId="9" fontId="10" fillId="0" borderId="21" xfId="3" applyFont="1" applyFill="1" applyBorder="1" applyAlignment="1">
      <alignment horizontal="center" vertical="center" wrapText="1"/>
    </xf>
    <xf numFmtId="0" fontId="41" fillId="0" borderId="2" xfId="0" applyFont="1" applyBorder="1" applyAlignment="1">
      <alignment horizontal="center" vertical="center" wrapText="1"/>
    </xf>
    <xf numFmtId="0" fontId="41" fillId="0" borderId="5" xfId="0" applyFont="1" applyBorder="1" applyAlignment="1">
      <alignment horizontal="center" vertical="center" wrapText="1"/>
    </xf>
    <xf numFmtId="9" fontId="2" fillId="0" borderId="7" xfId="3" applyFont="1" applyFill="1" applyBorder="1" applyAlignment="1">
      <alignment horizontal="center" vertical="center" wrapText="1"/>
    </xf>
    <xf numFmtId="9" fontId="2" fillId="0" borderId="39" xfId="3" applyFont="1" applyFill="1" applyBorder="1" applyAlignment="1">
      <alignment horizontal="center" vertical="center" wrapText="1"/>
    </xf>
    <xf numFmtId="10" fontId="2" fillId="0" borderId="31" xfId="3" applyNumberFormat="1" applyFont="1" applyFill="1" applyBorder="1" applyAlignment="1">
      <alignment horizontal="center" vertical="center" wrapText="1"/>
    </xf>
    <xf numFmtId="10" fontId="2" fillId="0" borderId="40" xfId="3" applyNumberFormat="1" applyFont="1" applyFill="1" applyBorder="1" applyAlignment="1">
      <alignment horizontal="center" vertical="center" wrapText="1"/>
    </xf>
    <xf numFmtId="0" fontId="37" fillId="0" borderId="30" xfId="0" applyFont="1" applyBorder="1" applyAlignment="1">
      <alignment horizontal="center" vertical="center" wrapText="1"/>
    </xf>
    <xf numFmtId="9" fontId="9" fillId="0" borderId="7" xfId="3" applyFont="1" applyFill="1" applyBorder="1" applyAlignment="1">
      <alignment horizontal="center" vertical="center" wrapText="1"/>
    </xf>
    <xf numFmtId="10" fontId="3" fillId="0" borderId="31" xfId="3" applyNumberFormat="1" applyFont="1" applyFill="1" applyBorder="1" applyAlignment="1">
      <alignment horizontal="center" vertical="center" wrapText="1"/>
    </xf>
    <xf numFmtId="0" fontId="38" fillId="0" borderId="3" xfId="1" applyNumberFormat="1" applyFont="1" applyFill="1" applyBorder="1" applyAlignment="1">
      <alignment horizontal="center" vertical="center" wrapText="1"/>
    </xf>
    <xf numFmtId="0" fontId="38" fillId="0" borderId="2" xfId="1" applyNumberFormat="1" applyFont="1" applyFill="1" applyBorder="1" applyAlignment="1">
      <alignment horizontal="center" vertical="center" wrapText="1"/>
    </xf>
    <xf numFmtId="3" fontId="38" fillId="0" borderId="3" xfId="1" applyNumberFormat="1" applyFont="1" applyBorder="1" applyAlignment="1">
      <alignment horizontal="center" vertical="center" wrapText="1"/>
    </xf>
    <xf numFmtId="3" fontId="38" fillId="0" borderId="2" xfId="1" applyNumberFormat="1" applyFont="1" applyBorder="1" applyAlignment="1">
      <alignment horizontal="center" vertical="center" wrapText="1"/>
    </xf>
    <xf numFmtId="0" fontId="38" fillId="0" borderId="3" xfId="1" applyNumberFormat="1" applyFont="1" applyBorder="1" applyAlignment="1">
      <alignment horizontal="center" vertical="center" wrapText="1"/>
    </xf>
    <xf numFmtId="0" fontId="38" fillId="0" borderId="2" xfId="1" applyNumberFormat="1" applyFont="1" applyBorder="1" applyAlignment="1">
      <alignment horizontal="center" vertical="center" wrapText="1"/>
    </xf>
    <xf numFmtId="0" fontId="17" fillId="8" borderId="9" xfId="0" applyFont="1" applyFill="1" applyBorder="1" applyAlignment="1">
      <alignment horizontal="center" vertical="center" wrapText="1"/>
    </xf>
    <xf numFmtId="0" fontId="17" fillId="8" borderId="44" xfId="0" applyFont="1" applyFill="1" applyBorder="1" applyAlignment="1">
      <alignment horizontal="center" vertical="center" wrapText="1"/>
    </xf>
    <xf numFmtId="0" fontId="17" fillId="8" borderId="45" xfId="0" applyFont="1" applyFill="1" applyBorder="1" applyAlignment="1">
      <alignment horizontal="center" vertical="center" wrapText="1"/>
    </xf>
    <xf numFmtId="0" fontId="17" fillId="0" borderId="0" xfId="0" applyFont="1" applyAlignment="1">
      <alignment horizontal="center" vertical="center" wrapText="1"/>
    </xf>
    <xf numFmtId="0" fontId="24" fillId="0" borderId="0" xfId="0" applyFont="1" applyAlignment="1">
      <alignment horizontal="center" vertical="center"/>
    </xf>
    <xf numFmtId="0" fontId="60" fillId="0" borderId="47" xfId="0" applyFont="1" applyBorder="1" applyAlignment="1">
      <alignment horizontal="center" vertical="center"/>
    </xf>
    <xf numFmtId="0" fontId="0" fillId="0" borderId="18" xfId="0" applyBorder="1" applyAlignment="1">
      <alignment horizontal="left"/>
    </xf>
    <xf numFmtId="0" fontId="0" fillId="0" borderId="6" xfId="0" applyBorder="1" applyAlignment="1">
      <alignment horizontal="left"/>
    </xf>
    <xf numFmtId="0" fontId="0" fillId="0" borderId="1" xfId="0" applyBorder="1" applyAlignment="1">
      <alignment horizontal="left"/>
    </xf>
    <xf numFmtId="0" fontId="0" fillId="0" borderId="24" xfId="0" applyBorder="1" applyAlignment="1">
      <alignment horizontal="center"/>
    </xf>
    <xf numFmtId="0" fontId="0" fillId="0" borderId="6" xfId="0" applyBorder="1" applyAlignment="1">
      <alignment horizontal="center"/>
    </xf>
    <xf numFmtId="0" fontId="0" fillId="0" borderId="1" xfId="0" applyBorder="1" applyAlignment="1">
      <alignment horizontal="left" wrapText="1"/>
    </xf>
    <xf numFmtId="0" fontId="0" fillId="0" borderId="5" xfId="0" applyBorder="1" applyAlignment="1">
      <alignment horizontal="left"/>
    </xf>
    <xf numFmtId="0" fontId="21" fillId="0" borderId="9" xfId="0" applyFont="1" applyBorder="1" applyAlignment="1">
      <alignment horizontal="center" vertical="center"/>
    </xf>
    <xf numFmtId="0" fontId="21" fillId="0" borderId="44" xfId="0" applyFont="1" applyBorder="1" applyAlignment="1">
      <alignment horizontal="center" vertical="center"/>
    </xf>
    <xf numFmtId="0" fontId="21" fillId="0" borderId="46" xfId="0" applyFont="1" applyBorder="1" applyAlignment="1">
      <alignment horizontal="center" vertical="center"/>
    </xf>
    <xf numFmtId="0" fontId="36" fillId="0" borderId="15" xfId="0" applyFont="1" applyFill="1" applyBorder="1" applyAlignment="1">
      <alignment horizontal="justify" vertical="center" wrapText="1"/>
    </xf>
    <xf numFmtId="0" fontId="36" fillId="0" borderId="2" xfId="0" applyFont="1" applyFill="1" applyBorder="1" applyAlignment="1">
      <alignment horizontal="justify" vertical="center" wrapText="1"/>
    </xf>
    <xf numFmtId="0" fontId="36" fillId="0" borderId="16" xfId="0" applyFont="1" applyFill="1" applyBorder="1" applyAlignment="1">
      <alignment horizontal="justify" vertical="center" wrapText="1"/>
    </xf>
    <xf numFmtId="0" fontId="36" fillId="0" borderId="1" xfId="0" applyFont="1" applyFill="1" applyBorder="1" applyAlignment="1">
      <alignment horizontal="justify"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36" fillId="0" borderId="19" xfId="0" applyFont="1" applyFill="1" applyBorder="1" applyAlignment="1">
      <alignment horizontal="justify" vertical="center" wrapText="1"/>
    </xf>
    <xf numFmtId="0" fontId="36" fillId="0" borderId="5" xfId="0" applyFont="1" applyFill="1" applyBorder="1" applyAlignment="1">
      <alignment horizontal="justify" vertical="center" wrapText="1"/>
    </xf>
    <xf numFmtId="0" fontId="22" fillId="0" borderId="5" xfId="0" applyFont="1" applyFill="1" applyBorder="1" applyAlignment="1">
      <alignment horizontal="center" vertical="center" wrapText="1"/>
    </xf>
    <xf numFmtId="0" fontId="0" fillId="0" borderId="18" xfId="0" applyBorder="1" applyAlignment="1">
      <alignment horizontal="left" vertical="center" wrapText="1"/>
    </xf>
    <xf numFmtId="0" fontId="0" fillId="0" borderId="6" xfId="0" applyBorder="1" applyAlignment="1">
      <alignment horizontal="left" vertical="center" wrapText="1"/>
    </xf>
    <xf numFmtId="0" fontId="0" fillId="0" borderId="24"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left"/>
    </xf>
    <xf numFmtId="0" fontId="12" fillId="0" borderId="4"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37" fillId="0" borderId="13" xfId="0" applyFont="1" applyBorder="1" applyAlignment="1">
      <alignment horizontal="center" vertical="center" wrapText="1"/>
    </xf>
    <xf numFmtId="0" fontId="61" fillId="11" borderId="4" xfId="0" applyFont="1" applyFill="1" applyBorder="1" applyAlignment="1">
      <alignment horizontal="left" vertical="center" wrapText="1"/>
    </xf>
    <xf numFmtId="0" fontId="61" fillId="11" borderId="1" xfId="0" applyFont="1" applyFill="1" applyBorder="1" applyAlignment="1">
      <alignment horizontal="left" vertical="center" wrapText="1"/>
    </xf>
    <xf numFmtId="0" fontId="53" fillId="10" borderId="4" xfId="0" applyFont="1" applyFill="1" applyBorder="1" applyAlignment="1">
      <alignment horizontal="center" vertical="center" wrapText="1"/>
    </xf>
    <xf numFmtId="0" fontId="53" fillId="10" borderId="1" xfId="0" applyFont="1" applyFill="1" applyBorder="1" applyAlignment="1">
      <alignment horizontal="center" vertical="center" wrapText="1"/>
    </xf>
    <xf numFmtId="9" fontId="14" fillId="10" borderId="4" xfId="3" applyFont="1" applyFill="1" applyBorder="1" applyAlignment="1">
      <alignment horizontal="center" vertical="center" wrapText="1"/>
    </xf>
    <xf numFmtId="9" fontId="14" fillId="10" borderId="1" xfId="3" applyFont="1" applyFill="1" applyBorder="1" applyAlignment="1">
      <alignment horizontal="center" vertical="center" wrapText="1"/>
    </xf>
    <xf numFmtId="9" fontId="7" fillId="10" borderId="14" xfId="3" applyFont="1" applyFill="1" applyBorder="1" applyAlignment="1">
      <alignment horizontal="center" vertical="center" wrapText="1"/>
    </xf>
    <xf numFmtId="9" fontId="7" fillId="10" borderId="17" xfId="3" applyFont="1" applyFill="1" applyBorder="1" applyAlignment="1">
      <alignment horizontal="center" vertical="center" wrapText="1"/>
    </xf>
    <xf numFmtId="9" fontId="3" fillId="0" borderId="1" xfId="3" applyFont="1" applyFill="1" applyBorder="1" applyAlignment="1">
      <alignment horizontal="center" vertical="center" wrapText="1"/>
    </xf>
    <xf numFmtId="9" fontId="3" fillId="0" borderId="17" xfId="3"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48"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9" xfId="0" applyFont="1" applyFill="1" applyBorder="1" applyAlignment="1">
      <alignment horizontal="center" vertical="center" wrapText="1"/>
    </xf>
    <xf numFmtId="3" fontId="53" fillId="10" borderId="1" xfId="1" applyNumberFormat="1" applyFont="1" applyFill="1" applyBorder="1" applyAlignment="1">
      <alignment horizontal="center" vertical="center" wrapText="1"/>
    </xf>
    <xf numFmtId="9" fontId="10" fillId="10" borderId="17" xfId="3" applyFont="1" applyFill="1" applyBorder="1" applyAlignment="1">
      <alignment horizontal="center" vertical="center" wrapText="1"/>
    </xf>
    <xf numFmtId="0" fontId="61" fillId="0" borderId="1" xfId="0" applyFont="1" applyFill="1" applyBorder="1" applyAlignment="1">
      <alignment horizontal="left" vertical="center" wrapText="1"/>
    </xf>
    <xf numFmtId="0" fontId="21" fillId="0" borderId="0" xfId="0" applyFont="1" applyAlignment="1">
      <alignment horizontal="center" wrapText="1"/>
    </xf>
    <xf numFmtId="0" fontId="52" fillId="0" borderId="0" xfId="0" applyFont="1" applyAlignment="1">
      <alignment horizontal="center" vertical="center"/>
    </xf>
    <xf numFmtId="9" fontId="13" fillId="0" borderId="1" xfId="3" applyFont="1" applyFill="1" applyBorder="1" applyAlignment="1">
      <alignment horizontal="center" vertical="center" wrapText="1"/>
    </xf>
    <xf numFmtId="0" fontId="53" fillId="10" borderId="1" xfId="1" applyNumberFormat="1" applyFont="1" applyFill="1" applyBorder="1" applyAlignment="1">
      <alignment horizontal="center" vertical="center" wrapText="1"/>
    </xf>
    <xf numFmtId="9" fontId="10" fillId="10" borderId="1" xfId="3" applyFont="1" applyFill="1" applyBorder="1" applyAlignment="1">
      <alignment horizontal="center" vertical="center" wrapText="1"/>
    </xf>
    <xf numFmtId="0" fontId="40" fillId="0" borderId="13"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16" xfId="0" applyFont="1" applyBorder="1" applyAlignment="1">
      <alignment horizontal="center" vertical="center" wrapText="1"/>
    </xf>
    <xf numFmtId="0" fontId="40" fillId="0" borderId="19" xfId="0" applyFont="1" applyBorder="1" applyAlignment="1">
      <alignment horizontal="center" vertical="center" wrapText="1"/>
    </xf>
    <xf numFmtId="0" fontId="40" fillId="0" borderId="5" xfId="0" applyFont="1" applyBorder="1" applyAlignment="1">
      <alignment horizontal="center" vertical="center" wrapText="1"/>
    </xf>
    <xf numFmtId="43" fontId="22" fillId="10" borderId="4" xfId="1" applyFont="1" applyFill="1" applyBorder="1" applyAlignment="1">
      <alignment horizontal="center" vertical="center" wrapText="1"/>
    </xf>
    <xf numFmtId="43" fontId="22" fillId="10" borderId="1" xfId="1" applyFont="1" applyFill="1" applyBorder="1" applyAlignment="1">
      <alignment horizontal="center" vertical="center" wrapText="1"/>
    </xf>
    <xf numFmtId="9" fontId="5" fillId="10" borderId="4" xfId="3" applyFont="1" applyFill="1" applyBorder="1" applyAlignment="1">
      <alignment horizontal="center" vertical="center" wrapText="1"/>
    </xf>
    <xf numFmtId="9" fontId="5" fillId="10" borderId="1" xfId="3" applyFont="1" applyFill="1" applyBorder="1" applyAlignment="1">
      <alignment horizontal="center" vertical="center" wrapText="1"/>
    </xf>
    <xf numFmtId="9" fontId="5" fillId="10" borderId="14" xfId="3" applyFont="1" applyFill="1" applyBorder="1" applyAlignment="1">
      <alignment horizontal="center" vertical="center" wrapText="1"/>
    </xf>
    <xf numFmtId="9" fontId="5" fillId="10" borderId="17" xfId="3" applyFont="1" applyFill="1" applyBorder="1" applyAlignment="1">
      <alignment horizontal="center" vertical="center" wrapText="1"/>
    </xf>
    <xf numFmtId="0" fontId="41" fillId="0" borderId="1" xfId="0" applyFont="1" applyBorder="1" applyAlignment="1">
      <alignment horizontal="center" vertical="center" wrapText="1"/>
    </xf>
    <xf numFmtId="9" fontId="15" fillId="0" borderId="1" xfId="3" applyFont="1" applyFill="1" applyBorder="1" applyAlignment="1">
      <alignment horizontal="center" vertical="center" wrapText="1"/>
    </xf>
    <xf numFmtId="9" fontId="15" fillId="0" borderId="5" xfId="3" applyFont="1" applyFill="1" applyBorder="1" applyAlignment="1">
      <alignment horizontal="center" vertical="center" wrapText="1"/>
    </xf>
    <xf numFmtId="9" fontId="15" fillId="0" borderId="17" xfId="3" applyFont="1" applyFill="1" applyBorder="1" applyAlignment="1">
      <alignment horizontal="center" vertical="center" wrapText="1"/>
    </xf>
    <xf numFmtId="9" fontId="15" fillId="0" borderId="21" xfId="3" applyFont="1" applyFill="1" applyBorder="1" applyAlignment="1">
      <alignment horizontal="center" vertical="center" wrapText="1"/>
    </xf>
    <xf numFmtId="0" fontId="61" fillId="11" borderId="3" xfId="0" applyFont="1" applyFill="1" applyBorder="1" applyAlignment="1">
      <alignment horizontal="left" vertical="center" wrapText="1"/>
    </xf>
    <xf numFmtId="9" fontId="13" fillId="0" borderId="3" xfId="3" applyFont="1" applyFill="1" applyBorder="1" applyAlignment="1">
      <alignment horizontal="center" vertical="center" wrapText="1"/>
    </xf>
    <xf numFmtId="9" fontId="3" fillId="0" borderId="26" xfId="3" applyFont="1" applyFill="1" applyBorder="1" applyAlignment="1">
      <alignment horizontal="center" vertical="center" wrapText="1"/>
    </xf>
  </cellXfs>
  <cellStyles count="6">
    <cellStyle name="Millares" xfId="1" builtinId="3"/>
    <cellStyle name="Moneda" xfId="2" builtinId="4"/>
    <cellStyle name="Moneda 3" xfId="5"/>
    <cellStyle name="Normal" xfId="0" builtinId="0"/>
    <cellStyle name="Normal 4" xfId="4"/>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761832</xdr:colOff>
      <xdr:row>380</xdr:row>
      <xdr:rowOff>168088</xdr:rowOff>
    </xdr:from>
    <xdr:to>
      <xdr:col>9</xdr:col>
      <xdr:colOff>549543</xdr:colOff>
      <xdr:row>390</xdr:row>
      <xdr:rowOff>82972</xdr:rowOff>
    </xdr:to>
    <xdr:sp macro="" textlink="">
      <xdr:nvSpPr>
        <xdr:cNvPr id="2" name="Text Box 8">
          <a:extLst/>
        </xdr:cNvPr>
        <xdr:cNvSpPr txBox="1">
          <a:spLocks noChangeArrowheads="1"/>
        </xdr:cNvSpPr>
      </xdr:nvSpPr>
      <xdr:spPr bwMode="auto">
        <a:xfrm flipH="1">
          <a:off x="5737244" y="145598029"/>
          <a:ext cx="3530475" cy="1819884"/>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2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Revisado por:</a:t>
          </a: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2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________________________________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C.P. Juan Magdaleno Valderrama</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Encargado de la Dirección de Finanzas</a:t>
          </a:r>
        </a:p>
      </xdr:txBody>
    </xdr:sp>
    <xdr:clientData/>
  </xdr:twoCellAnchor>
  <xdr:twoCellAnchor>
    <xdr:from>
      <xdr:col>0</xdr:col>
      <xdr:colOff>0</xdr:colOff>
      <xdr:row>380</xdr:row>
      <xdr:rowOff>168088</xdr:rowOff>
    </xdr:from>
    <xdr:to>
      <xdr:col>5</xdr:col>
      <xdr:colOff>10887</xdr:colOff>
      <xdr:row>390</xdr:row>
      <xdr:rowOff>73448</xdr:rowOff>
    </xdr:to>
    <xdr:sp macro="" textlink="">
      <xdr:nvSpPr>
        <xdr:cNvPr id="3" name="Text Box 8">
          <a:extLst/>
        </xdr:cNvPr>
        <xdr:cNvSpPr txBox="1">
          <a:spLocks noChangeArrowheads="1"/>
        </xdr:cNvSpPr>
      </xdr:nvSpPr>
      <xdr:spPr bwMode="auto">
        <a:xfrm>
          <a:off x="0" y="145598029"/>
          <a:ext cx="4986299" cy="181036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2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Elaborado por:</a:t>
          </a: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2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__________________________________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C. Agustín Ceballos Contreras</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Responsable del Programa de Evaluación del Desempeño</a:t>
          </a:r>
        </a:p>
      </xdr:txBody>
    </xdr:sp>
    <xdr:clientData/>
  </xdr:twoCellAnchor>
  <xdr:twoCellAnchor>
    <xdr:from>
      <xdr:col>11</xdr:col>
      <xdr:colOff>139682</xdr:colOff>
      <xdr:row>380</xdr:row>
      <xdr:rowOff>168088</xdr:rowOff>
    </xdr:from>
    <xdr:to>
      <xdr:col>15</xdr:col>
      <xdr:colOff>225636</xdr:colOff>
      <xdr:row>389</xdr:row>
      <xdr:rowOff>465</xdr:rowOff>
    </xdr:to>
    <xdr:sp macro="" textlink="">
      <xdr:nvSpPr>
        <xdr:cNvPr id="4" name="Text Box 8">
          <a:extLst/>
        </xdr:cNvPr>
        <xdr:cNvSpPr txBox="1">
          <a:spLocks noChangeArrowheads="1"/>
        </xdr:cNvSpPr>
      </xdr:nvSpPr>
      <xdr:spPr bwMode="auto">
        <a:xfrm flipH="1">
          <a:off x="10774064" y="145598029"/>
          <a:ext cx="4019219" cy="1546877"/>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1200" b="1" i="0" strike="noStrike">
            <a:solidFill>
              <a:srgbClr val="000000"/>
            </a:solidFill>
            <a:latin typeface="Arial"/>
            <a:cs typeface="Arial"/>
          </a:endParaRPr>
        </a:p>
        <a:p>
          <a:pPr algn="ctr" rtl="1">
            <a:defRPr sz="1000"/>
          </a:pPr>
          <a:r>
            <a:rPr lang="es-MX" sz="1200" b="1" i="0" strike="noStrike">
              <a:solidFill>
                <a:srgbClr val="000000"/>
              </a:solidFill>
              <a:latin typeface="Arial"/>
              <a:cs typeface="Arial"/>
            </a:rPr>
            <a:t>Aprobado  por:</a:t>
          </a:r>
        </a:p>
        <a:p>
          <a:pPr algn="ctr" rtl="1">
            <a:defRPr sz="1000"/>
          </a:pPr>
          <a:endParaRPr lang="es-MX" sz="1200" b="1" i="0" strike="noStrike">
            <a:solidFill>
              <a:srgbClr val="000000"/>
            </a:solidFill>
            <a:latin typeface="Arial"/>
            <a:cs typeface="Arial"/>
          </a:endParaRPr>
        </a:p>
        <a:p>
          <a:pPr algn="ctr" rtl="1">
            <a:defRPr sz="1000"/>
          </a:pPr>
          <a:r>
            <a:rPr lang="es-MX" sz="1200" b="1" i="0" strike="noStrike">
              <a:solidFill>
                <a:srgbClr val="000000"/>
              </a:solidFill>
              <a:latin typeface="Arial"/>
              <a:cs typeface="Arial"/>
            </a:rPr>
            <a:t>___________________________</a:t>
          </a:r>
          <a:endParaRPr lang="es-MX" sz="1200" b="1" i="0" strike="noStrike">
            <a:solidFill>
              <a:srgbClr val="000000"/>
            </a:solidFill>
            <a:latin typeface="Arial" panose="020B0604020202020204" pitchFamily="34" charset="0"/>
            <a:cs typeface="Arial" panose="020B0604020202020204" pitchFamily="34" charset="0"/>
          </a:endParaRPr>
        </a:p>
        <a:p>
          <a:pPr marL="0" marR="0" indent="0" algn="ctr" defTabSz="914400" rtl="1" eaLnBrk="1" fontAlgn="auto" latinLnBrk="0" hangingPunct="1">
            <a:lnSpc>
              <a:spcPct val="100000"/>
            </a:lnSpc>
            <a:spcBef>
              <a:spcPts val="0"/>
            </a:spcBef>
            <a:spcAft>
              <a:spcPts val="0"/>
            </a:spcAft>
            <a:buClrTx/>
            <a:buSzTx/>
            <a:buFontTx/>
            <a:buNone/>
            <a:tabLst/>
            <a:defRPr sz="1000"/>
          </a:pPr>
          <a:r>
            <a:rPr lang="es-MX" sz="1200" b="1" i="0">
              <a:effectLst/>
              <a:latin typeface="Arial" panose="020B0604020202020204" pitchFamily="34" charset="0"/>
              <a:ea typeface="+mn-ea"/>
              <a:cs typeface="Arial" panose="020B0604020202020204" pitchFamily="34" charset="0"/>
            </a:rPr>
            <a:t> Ing.</a:t>
          </a:r>
          <a:r>
            <a:rPr lang="es-MX" sz="1200" b="1" i="0" baseline="0">
              <a:effectLst/>
              <a:latin typeface="Arial" panose="020B0604020202020204" pitchFamily="34" charset="0"/>
              <a:ea typeface="+mn-ea"/>
              <a:cs typeface="Arial" panose="020B0604020202020204" pitchFamily="34" charset="0"/>
            </a:rPr>
            <a:t> José Ramón Aysa Neme</a:t>
          </a:r>
          <a:endParaRPr lang="es-MX" sz="1200" b="1" i="0">
            <a:effectLst/>
            <a:latin typeface="Arial" panose="020B0604020202020204" pitchFamily="34" charset="0"/>
            <a:ea typeface="+mn-ea"/>
            <a:cs typeface="Arial" panose="020B0604020202020204" pitchFamily="34" charset="0"/>
          </a:endParaRPr>
        </a:p>
        <a:p>
          <a:pPr marL="0" marR="0" indent="0" algn="ctr" defTabSz="914400" rtl="1" eaLnBrk="1" fontAlgn="auto" latinLnBrk="0" hangingPunct="1">
            <a:lnSpc>
              <a:spcPct val="100000"/>
            </a:lnSpc>
            <a:spcBef>
              <a:spcPts val="0"/>
            </a:spcBef>
            <a:spcAft>
              <a:spcPts val="0"/>
            </a:spcAft>
            <a:buClrTx/>
            <a:buSzTx/>
            <a:buFontTx/>
            <a:buNone/>
            <a:tabLst/>
            <a:defRPr sz="1000"/>
          </a:pPr>
          <a:r>
            <a:rPr lang="es-MX" sz="1200" b="1" i="0">
              <a:effectLst/>
              <a:latin typeface="Arial" panose="020B0604020202020204" pitchFamily="34" charset="0"/>
              <a:ea typeface="+mn-ea"/>
              <a:cs typeface="Arial" panose="020B0604020202020204" pitchFamily="34" charset="0"/>
            </a:rPr>
            <a:t>Director General</a:t>
          </a:r>
        </a:p>
      </xdr:txBody>
    </xdr:sp>
    <xdr:clientData/>
  </xdr:twoCellAnchor>
  <xdr:twoCellAnchor>
    <xdr:from>
      <xdr:col>16</xdr:col>
      <xdr:colOff>0</xdr:colOff>
      <xdr:row>380</xdr:row>
      <xdr:rowOff>168088</xdr:rowOff>
    </xdr:from>
    <xdr:to>
      <xdr:col>19</xdr:col>
      <xdr:colOff>717606</xdr:colOff>
      <xdr:row>389</xdr:row>
      <xdr:rowOff>5626</xdr:rowOff>
    </xdr:to>
    <xdr:sp macro="" textlink="">
      <xdr:nvSpPr>
        <xdr:cNvPr id="5" name="Text Box 8">
          <a:extLst/>
        </xdr:cNvPr>
        <xdr:cNvSpPr txBox="1">
          <a:spLocks noChangeArrowheads="1"/>
        </xdr:cNvSpPr>
      </xdr:nvSpPr>
      <xdr:spPr bwMode="auto">
        <a:xfrm flipH="1">
          <a:off x="15564971" y="145598029"/>
          <a:ext cx="2992400" cy="155203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2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Vo. Bo.</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_________________________________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C.P. Adalì Cruz Lòpez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 Contralor General </a:t>
          </a:r>
        </a:p>
      </xdr:txBody>
    </xdr:sp>
    <xdr:clientData/>
  </xdr:twoCellAnchor>
  <xdr:twoCellAnchor editAs="oneCell">
    <xdr:from>
      <xdr:col>0</xdr:col>
      <xdr:colOff>241300</xdr:colOff>
      <xdr:row>0</xdr:row>
      <xdr:rowOff>217805</xdr:rowOff>
    </xdr:from>
    <xdr:to>
      <xdr:col>2</xdr:col>
      <xdr:colOff>294640</xdr:colOff>
      <xdr:row>2</xdr:row>
      <xdr:rowOff>214736</xdr:rowOff>
    </xdr:to>
    <xdr:pic>
      <xdr:nvPicPr>
        <xdr:cNvPr id="6" name="7 Imagen" descr="C:\Users\ceballos\Documents\acapulco-logo.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 y="217805"/>
          <a:ext cx="2212340" cy="7271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948146</xdr:colOff>
      <xdr:row>0</xdr:row>
      <xdr:rowOff>96883</xdr:rowOff>
    </xdr:from>
    <xdr:to>
      <xdr:col>19</xdr:col>
      <xdr:colOff>1048022</xdr:colOff>
      <xdr:row>2</xdr:row>
      <xdr:rowOff>215734</xdr:rowOff>
    </xdr:to>
    <xdr:pic>
      <xdr:nvPicPr>
        <xdr:cNvPr id="7" name="7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45396" y="96883"/>
          <a:ext cx="2366826" cy="852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17</xdr:col>
      <xdr:colOff>948146</xdr:colOff>
      <xdr:row>0</xdr:row>
      <xdr:rowOff>96883</xdr:rowOff>
    </xdr:from>
    <xdr:ext cx="2429419" cy="859080"/>
    <xdr:pic>
      <xdr:nvPicPr>
        <xdr:cNvPr id="9" name="7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45396" y="96883"/>
          <a:ext cx="2429419" cy="8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18</xdr:col>
      <xdr:colOff>151885</xdr:colOff>
      <xdr:row>0</xdr:row>
      <xdr:rowOff>168632</xdr:rowOff>
    </xdr:from>
    <xdr:to>
      <xdr:col>19</xdr:col>
      <xdr:colOff>565326</xdr:colOff>
      <xdr:row>2</xdr:row>
      <xdr:rowOff>211537</xdr:rowOff>
    </xdr:to>
    <xdr:pic>
      <xdr:nvPicPr>
        <xdr:cNvPr id="2" name="Imagen 1">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98640" y="168632"/>
          <a:ext cx="1692097" cy="604880"/>
        </a:xfrm>
        <a:prstGeom prst="rect">
          <a:avLst/>
        </a:prstGeom>
        <a:effectLst>
          <a:glow rad="38100">
            <a:schemeClr val="bg1">
              <a:alpha val="80000"/>
            </a:schemeClr>
          </a:glow>
        </a:effectLst>
      </xdr:spPr>
    </xdr:pic>
    <xdr:clientData/>
  </xdr:twoCellAnchor>
  <xdr:twoCellAnchor>
    <xdr:from>
      <xdr:col>5</xdr:col>
      <xdr:colOff>761832</xdr:colOff>
      <xdr:row>92</xdr:row>
      <xdr:rowOff>55949</xdr:rowOff>
    </xdr:from>
    <xdr:to>
      <xdr:col>9</xdr:col>
      <xdr:colOff>541916</xdr:colOff>
      <xdr:row>99</xdr:row>
      <xdr:rowOff>34519</xdr:rowOff>
    </xdr:to>
    <xdr:sp macro="" textlink="">
      <xdr:nvSpPr>
        <xdr:cNvPr id="3" name="Text Box 8">
          <a:extLst/>
        </xdr:cNvPr>
        <xdr:cNvSpPr txBox="1">
          <a:spLocks noChangeArrowheads="1"/>
        </xdr:cNvSpPr>
      </xdr:nvSpPr>
      <xdr:spPr bwMode="auto">
        <a:xfrm flipH="1">
          <a:off x="5299542" y="30840749"/>
          <a:ext cx="3390059" cy="131207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2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Revisado por:</a:t>
          </a: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2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________________________________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C.P. Raúl Isidro Juárez Ponce</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Director de Finanzas </a:t>
          </a:r>
        </a:p>
      </xdr:txBody>
    </xdr:sp>
    <xdr:clientData/>
  </xdr:twoCellAnchor>
  <xdr:twoCellAnchor>
    <xdr:from>
      <xdr:col>1</xdr:col>
      <xdr:colOff>130884</xdr:colOff>
      <xdr:row>92</xdr:row>
      <xdr:rowOff>46425</xdr:rowOff>
    </xdr:from>
    <xdr:to>
      <xdr:col>4</xdr:col>
      <xdr:colOff>248506</xdr:colOff>
      <xdr:row>99</xdr:row>
      <xdr:rowOff>24995</xdr:rowOff>
    </xdr:to>
    <xdr:sp macro="" textlink="">
      <xdr:nvSpPr>
        <xdr:cNvPr id="4" name="Text Box 8">
          <a:extLst/>
        </xdr:cNvPr>
        <xdr:cNvSpPr txBox="1">
          <a:spLocks noChangeArrowheads="1"/>
        </xdr:cNvSpPr>
      </xdr:nvSpPr>
      <xdr:spPr bwMode="auto">
        <a:xfrm>
          <a:off x="428064" y="30831225"/>
          <a:ext cx="3422797" cy="131207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2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Elaborado por:</a:t>
          </a: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2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__________________________________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C.P. Norma Guatemala Mayo</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Jefe del depto. de Control  Presupuestal y Anàlisis</a:t>
          </a:r>
        </a:p>
      </xdr:txBody>
    </xdr:sp>
    <xdr:clientData/>
  </xdr:twoCellAnchor>
  <xdr:twoCellAnchor>
    <xdr:from>
      <xdr:col>11</xdr:col>
      <xdr:colOff>139682</xdr:colOff>
      <xdr:row>92</xdr:row>
      <xdr:rowOff>58423</xdr:rowOff>
    </xdr:from>
    <xdr:to>
      <xdr:col>15</xdr:col>
      <xdr:colOff>233266</xdr:colOff>
      <xdr:row>98</xdr:row>
      <xdr:rowOff>56029</xdr:rowOff>
    </xdr:to>
    <xdr:sp macro="" textlink="">
      <xdr:nvSpPr>
        <xdr:cNvPr id="5" name="Text Box 8">
          <a:extLst/>
        </xdr:cNvPr>
        <xdr:cNvSpPr txBox="1">
          <a:spLocks noChangeArrowheads="1"/>
        </xdr:cNvSpPr>
      </xdr:nvSpPr>
      <xdr:spPr bwMode="auto">
        <a:xfrm flipH="1">
          <a:off x="10074257" y="30843223"/>
          <a:ext cx="3345409" cy="1140606"/>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1200" b="1" i="0" strike="noStrike">
            <a:solidFill>
              <a:srgbClr val="000000"/>
            </a:solidFill>
            <a:latin typeface="Arial"/>
            <a:cs typeface="Arial"/>
          </a:endParaRPr>
        </a:p>
        <a:p>
          <a:pPr algn="ctr" rtl="1">
            <a:defRPr sz="1000"/>
          </a:pPr>
          <a:r>
            <a:rPr lang="es-MX" sz="1200" b="1" i="0" strike="noStrike">
              <a:solidFill>
                <a:srgbClr val="000000"/>
              </a:solidFill>
              <a:latin typeface="Arial"/>
              <a:cs typeface="Arial"/>
            </a:rPr>
            <a:t>Aprobado  por:</a:t>
          </a:r>
        </a:p>
        <a:p>
          <a:pPr algn="ctr" rtl="1">
            <a:defRPr sz="1000"/>
          </a:pPr>
          <a:endParaRPr lang="es-MX" sz="1200" b="1" i="0" strike="noStrike">
            <a:solidFill>
              <a:srgbClr val="000000"/>
            </a:solidFill>
            <a:latin typeface="Arial"/>
            <a:cs typeface="Arial"/>
          </a:endParaRPr>
        </a:p>
        <a:p>
          <a:pPr algn="ctr" rtl="1">
            <a:defRPr sz="1000"/>
          </a:pPr>
          <a:r>
            <a:rPr lang="es-MX" sz="1200" b="1" i="0" strike="noStrike">
              <a:solidFill>
                <a:srgbClr val="000000"/>
              </a:solidFill>
              <a:latin typeface="Arial"/>
              <a:cs typeface="Arial"/>
            </a:rPr>
            <a:t>___________________________</a:t>
          </a:r>
          <a:endParaRPr lang="es-MX" sz="1200" b="1" i="0" strike="noStrike">
            <a:solidFill>
              <a:srgbClr val="000000"/>
            </a:solidFill>
            <a:latin typeface="Arial" panose="020B0604020202020204" pitchFamily="34" charset="0"/>
            <a:cs typeface="Arial" panose="020B0604020202020204" pitchFamily="34" charset="0"/>
          </a:endParaRPr>
        </a:p>
        <a:p>
          <a:pPr marL="0" marR="0" indent="0" algn="ctr" defTabSz="914400" rtl="1" eaLnBrk="1" fontAlgn="auto" latinLnBrk="0" hangingPunct="1">
            <a:lnSpc>
              <a:spcPct val="100000"/>
            </a:lnSpc>
            <a:spcBef>
              <a:spcPts val="0"/>
            </a:spcBef>
            <a:spcAft>
              <a:spcPts val="0"/>
            </a:spcAft>
            <a:buClrTx/>
            <a:buSzTx/>
            <a:buFontTx/>
            <a:buNone/>
            <a:tabLst/>
            <a:defRPr sz="1000"/>
          </a:pPr>
          <a:r>
            <a:rPr lang="es-MX" sz="1200" b="1" i="0">
              <a:effectLst/>
              <a:latin typeface="Arial" panose="020B0604020202020204" pitchFamily="34" charset="0"/>
              <a:ea typeface="+mn-ea"/>
              <a:cs typeface="Arial" panose="020B0604020202020204" pitchFamily="34" charset="0"/>
            </a:rPr>
            <a:t> Ing.</a:t>
          </a:r>
          <a:r>
            <a:rPr lang="es-MX" sz="1200" b="1" i="0" baseline="0">
              <a:effectLst/>
              <a:latin typeface="Arial" panose="020B0604020202020204" pitchFamily="34" charset="0"/>
              <a:ea typeface="+mn-ea"/>
              <a:cs typeface="Arial" panose="020B0604020202020204" pitchFamily="34" charset="0"/>
            </a:rPr>
            <a:t> Leonel Galindo Gonzàlez</a:t>
          </a:r>
          <a:endParaRPr lang="es-MX" sz="1200" b="1" i="0">
            <a:effectLst/>
            <a:latin typeface="Arial" panose="020B0604020202020204" pitchFamily="34" charset="0"/>
            <a:ea typeface="+mn-ea"/>
            <a:cs typeface="Arial" panose="020B0604020202020204" pitchFamily="34" charset="0"/>
          </a:endParaRPr>
        </a:p>
        <a:p>
          <a:pPr marL="0" marR="0" indent="0" algn="ctr" defTabSz="914400" rtl="1" eaLnBrk="1" fontAlgn="auto" latinLnBrk="0" hangingPunct="1">
            <a:lnSpc>
              <a:spcPct val="100000"/>
            </a:lnSpc>
            <a:spcBef>
              <a:spcPts val="0"/>
            </a:spcBef>
            <a:spcAft>
              <a:spcPts val="0"/>
            </a:spcAft>
            <a:buClrTx/>
            <a:buSzTx/>
            <a:buFontTx/>
            <a:buNone/>
            <a:tabLst/>
            <a:defRPr sz="1000"/>
          </a:pPr>
          <a:r>
            <a:rPr lang="es-MX" sz="1200" b="1" i="0">
              <a:effectLst/>
              <a:latin typeface="Arial" panose="020B0604020202020204" pitchFamily="34" charset="0"/>
              <a:ea typeface="+mn-ea"/>
              <a:cs typeface="Arial" panose="020B0604020202020204" pitchFamily="34" charset="0"/>
            </a:rPr>
            <a:t>Director General</a:t>
          </a:r>
        </a:p>
      </xdr:txBody>
    </xdr:sp>
    <xdr:clientData/>
  </xdr:twoCellAnchor>
  <xdr:twoCellAnchor>
    <xdr:from>
      <xdr:col>16</xdr:col>
      <xdr:colOff>307127</xdr:colOff>
      <xdr:row>92</xdr:row>
      <xdr:rowOff>15128</xdr:rowOff>
    </xdr:from>
    <xdr:to>
      <xdr:col>19</xdr:col>
      <xdr:colOff>717620</xdr:colOff>
      <xdr:row>98</xdr:row>
      <xdr:rowOff>61190</xdr:rowOff>
    </xdr:to>
    <xdr:sp macro="" textlink="">
      <xdr:nvSpPr>
        <xdr:cNvPr id="6" name="Text Box 8">
          <a:extLst/>
        </xdr:cNvPr>
        <xdr:cNvSpPr txBox="1">
          <a:spLocks noChangeArrowheads="1"/>
        </xdr:cNvSpPr>
      </xdr:nvSpPr>
      <xdr:spPr bwMode="auto">
        <a:xfrm flipH="1">
          <a:off x="14425082" y="30799928"/>
          <a:ext cx="3405157" cy="1189062"/>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2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Vo. Bo.</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_________________________________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C.P. Adalì Cruz Lòpez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 Contralor General </a:t>
          </a:r>
        </a:p>
      </xdr:txBody>
    </xdr:sp>
    <xdr:clientData/>
  </xdr:twoCellAnchor>
  <xdr:twoCellAnchor editAs="oneCell">
    <xdr:from>
      <xdr:col>0</xdr:col>
      <xdr:colOff>114300</xdr:colOff>
      <xdr:row>0</xdr:row>
      <xdr:rowOff>106680</xdr:rowOff>
    </xdr:from>
    <xdr:to>
      <xdr:col>2</xdr:col>
      <xdr:colOff>167640</xdr:colOff>
      <xdr:row>3</xdr:row>
      <xdr:rowOff>83820</xdr:rowOff>
    </xdr:to>
    <xdr:pic>
      <xdr:nvPicPr>
        <xdr:cNvPr id="4384" name="7 Imagen" descr="C:\Users\ceballos\Documents\acapulco-logo.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106680"/>
          <a:ext cx="2278380" cy="746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419100</xdr:colOff>
      <xdr:row>0</xdr:row>
      <xdr:rowOff>99060</xdr:rowOff>
    </xdr:from>
    <xdr:to>
      <xdr:col>1</xdr:col>
      <xdr:colOff>1363980</xdr:colOff>
      <xdr:row>4</xdr:row>
      <xdr:rowOff>114300</xdr:rowOff>
    </xdr:to>
    <xdr:sp macro="" textlink="">
      <xdr:nvSpPr>
        <xdr:cNvPr id="5215" name="4 Imagen" descr="C:\Users\PARTICULAR\Downloads\descarga.png"/>
        <xdr:cNvSpPr>
          <a:spLocks noChangeAspect="1" noChangeArrowheads="1"/>
        </xdr:cNvSpPr>
      </xdr:nvSpPr>
      <xdr:spPr bwMode="auto">
        <a:xfrm>
          <a:off x="419100" y="99060"/>
          <a:ext cx="1501140" cy="746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45720</xdr:colOff>
      <xdr:row>0</xdr:row>
      <xdr:rowOff>137160</xdr:rowOff>
    </xdr:from>
    <xdr:to>
      <xdr:col>17</xdr:col>
      <xdr:colOff>647700</xdr:colOff>
      <xdr:row>4</xdr:row>
      <xdr:rowOff>60960</xdr:rowOff>
    </xdr:to>
    <xdr:sp macro="" textlink="">
      <xdr:nvSpPr>
        <xdr:cNvPr id="5216" name="6 Imagen"/>
        <xdr:cNvSpPr>
          <a:spLocks noChangeAspect="1" noChangeArrowheads="1"/>
        </xdr:cNvSpPr>
      </xdr:nvSpPr>
      <xdr:spPr bwMode="auto">
        <a:xfrm>
          <a:off x="18928080" y="137160"/>
          <a:ext cx="185928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45720</xdr:rowOff>
    </xdr:from>
    <xdr:to>
      <xdr:col>2</xdr:col>
      <xdr:colOff>525780</xdr:colOff>
      <xdr:row>0</xdr:row>
      <xdr:rowOff>624840</xdr:rowOff>
    </xdr:to>
    <xdr:pic>
      <xdr:nvPicPr>
        <xdr:cNvPr id="8287" name="1 Imagen" descr="C:\Users\ceballos\Documents\acapulco-logo.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5720"/>
          <a:ext cx="18364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167640</xdr:colOff>
      <xdr:row>0</xdr:row>
      <xdr:rowOff>68580</xdr:rowOff>
    </xdr:from>
    <xdr:to>
      <xdr:col>17</xdr:col>
      <xdr:colOff>541020</xdr:colOff>
      <xdr:row>1</xdr:row>
      <xdr:rowOff>7620</xdr:rowOff>
    </xdr:to>
    <xdr:pic>
      <xdr:nvPicPr>
        <xdr:cNvPr id="8288"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65920" y="68580"/>
          <a:ext cx="195834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99060</xdr:colOff>
      <xdr:row>0</xdr:row>
      <xdr:rowOff>68580</xdr:rowOff>
    </xdr:from>
    <xdr:to>
      <xdr:col>1</xdr:col>
      <xdr:colOff>1653540</xdr:colOff>
      <xdr:row>2</xdr:row>
      <xdr:rowOff>106680</xdr:rowOff>
    </xdr:to>
    <xdr:pic>
      <xdr:nvPicPr>
        <xdr:cNvPr id="9288" name="1 Imagen" descr="C:\Users\ceballos\Documents\acapulco-logo.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68580"/>
          <a:ext cx="186690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929640</xdr:colOff>
      <xdr:row>0</xdr:row>
      <xdr:rowOff>30480</xdr:rowOff>
    </xdr:from>
    <xdr:to>
      <xdr:col>10</xdr:col>
      <xdr:colOff>1173480</xdr:colOff>
      <xdr:row>2</xdr:row>
      <xdr:rowOff>68580</xdr:rowOff>
    </xdr:to>
    <xdr:pic>
      <xdr:nvPicPr>
        <xdr:cNvPr id="928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29900" y="30480"/>
          <a:ext cx="212598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GUSTIN/Downloads/MIR%20PBR%20POA%20CIFRAS%20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R D.O."/>
      <sheetName val="POA"/>
      <sheetName val="PBR"/>
      <sheetName val="FT Fin"/>
      <sheetName val="FT Proposito"/>
      <sheetName val="FT Componente 1"/>
      <sheetName val="FT Componente 2"/>
      <sheetName val="FT Componente 3"/>
      <sheetName val="FT Componente 4"/>
      <sheetName val="Matriz C6"/>
      <sheetName val="Calendario C6"/>
      <sheetName val="F. 6.1"/>
      <sheetName val="F. 6.2"/>
      <sheetName val="F. 6.3"/>
      <sheetName val="F. 6.4"/>
      <sheetName val="F. 6.5"/>
      <sheetName val="F. 6.6"/>
      <sheetName val="F. 6.7"/>
      <sheetName val="Matriz C7"/>
      <sheetName val="Calendario C7"/>
      <sheetName val="F. 7.1"/>
      <sheetName val="Matriz C8"/>
      <sheetName val="Calendario C8"/>
      <sheetName val="F. 8.1"/>
      <sheetName val="F. 8.2"/>
      <sheetName val="F. 8.3"/>
      <sheetName val="F. 8.4"/>
      <sheetName val="F. 8.5"/>
      <sheetName val="F. 8.6"/>
      <sheetName val="F. 8.7"/>
      <sheetName val="F. 8.8"/>
      <sheetName val="F. 8.9"/>
      <sheetName val="F. 8.10"/>
      <sheetName val="F. 8.11"/>
      <sheetName val="F. 8.12"/>
      <sheetName val="F. 8.13"/>
      <sheetName val="F. 8.14"/>
      <sheetName val="F. 8.15"/>
      <sheetName val="F. 8.16"/>
      <sheetName val="F. 8.17"/>
      <sheetName val="F. 8.18"/>
      <sheetName val="F. 8.19"/>
      <sheetName val="F. 8.20"/>
      <sheetName val="F. 8.21"/>
      <sheetName val="F. 8.22"/>
      <sheetName val="F. 8.23"/>
      <sheetName val="F. 8.24"/>
      <sheetName val="Matriz C9"/>
      <sheetName val="Calendario C9"/>
      <sheetName val="F. 9.1"/>
    </sheetNames>
    <sheetDataSet>
      <sheetData sheetId="0" refreshError="1">
        <row r="30">
          <cell r="E30" t="str">
            <v>Actividades Realizadas de la Direción Operativa / Actividades Programadas de la Direción Operativa * 100</v>
          </cell>
        </row>
        <row r="31">
          <cell r="E31" t="str">
            <v>Actividades Realizadas de la Subdirección de agua potable / Actividades Programadas de la Subdirección de agua potable* 100</v>
          </cell>
        </row>
        <row r="32">
          <cell r="E32" t="str">
            <v>(Agua extraida año 2020) / (Agua extraida año 2020) * 100</v>
          </cell>
        </row>
        <row r="33">
          <cell r="E33" t="str">
            <v>(No reportes atendidos 2020) / (No de reportes recibidos 2020) * 100</v>
          </cell>
        </row>
        <row r="34">
          <cell r="E34" t="str">
            <v>(Agua potabilizada año 2020) /Agua potabilizada año 2019) * 100</v>
          </cell>
        </row>
        <row r="35">
          <cell r="E35" t="str">
            <v>(Mantenimientos preventivos año 2020) /Mantenimientos preventivos año 2019) * 100</v>
          </cell>
        </row>
        <row r="36">
          <cell r="E36" t="str">
            <v>(Mantenimientos preventivos año 2020) /Mantenimientos preventivos año 2019) * 100</v>
          </cell>
        </row>
        <row r="37">
          <cell r="E37" t="str">
            <v>(No reportes atendidos 2020) / (No de reportes recibidos 2020) * 100</v>
          </cell>
        </row>
        <row r="38">
          <cell r="E38" t="str">
            <v>Actividades Realizadas de la Subdirección de Saneamiento / Actividades Programadas de la Subdirección de Saneamiento * 100</v>
          </cell>
        </row>
        <row r="40">
          <cell r="E40" t="str">
            <v>(No reportes atendidos 2020) / (No de reportes recibidos 2020) * 100</v>
          </cell>
        </row>
      </sheetData>
      <sheetData sheetId="1" refreshError="1"/>
      <sheetData sheetId="2" refreshError="1">
        <row r="105">
          <cell r="C105" t="str">
            <v>C1. A1.- Realizar las reuniones de coordinación con las areas a cargo de la Dirección Operativa, logrando con esto un mejor servicio a la población</v>
          </cell>
          <cell r="F105" t="str">
            <v>Reuniones</v>
          </cell>
        </row>
        <row r="107">
          <cell r="F107" t="str">
            <v>Reuniones</v>
          </cell>
        </row>
        <row r="111">
          <cell r="F111" t="str">
            <v>Reportes</v>
          </cell>
        </row>
        <row r="119">
          <cell r="F119" t="str">
            <v>Metros lineales</v>
          </cell>
        </row>
        <row r="121">
          <cell r="F121" t="str">
            <v>Reuniones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77"/>
  <sheetViews>
    <sheetView tabSelected="1" view="pageBreakPreview" zoomScale="85" zoomScaleNormal="100" zoomScaleSheetLayoutView="85" zoomScalePageLayoutView="60" workbookViewId="0">
      <selection sqref="A1:T1"/>
    </sheetView>
  </sheetViews>
  <sheetFormatPr baseColWidth="10" defaultRowHeight="15"/>
  <cols>
    <col min="1" max="1" width="4.5703125" customWidth="1"/>
    <col min="2" max="2" width="27.85546875" style="225" customWidth="1"/>
    <col min="3" max="3" width="14" customWidth="1"/>
    <col min="4" max="4" width="14.140625" style="122" customWidth="1"/>
    <col min="5" max="8" width="14.140625" customWidth="1"/>
    <col min="9" max="9" width="13.7109375" customWidth="1"/>
    <col min="10" max="10" width="14.140625" customWidth="1"/>
    <col min="11" max="11" width="14.5703125" customWidth="1"/>
    <col min="12" max="12" width="16.140625" customWidth="1"/>
    <col min="13" max="13" width="14.140625" customWidth="1"/>
    <col min="14" max="14" width="14.42578125" customWidth="1"/>
    <col min="15" max="15" width="14.28515625" customWidth="1"/>
    <col min="16" max="16" width="15" customWidth="1"/>
    <col min="17" max="17" width="12.7109375" hidden="1" customWidth="1"/>
    <col min="18" max="18" width="14.7109375" customWidth="1"/>
    <col min="19" max="19" width="19.28515625" customWidth="1"/>
    <col min="20" max="20" width="16.42578125" customWidth="1"/>
    <col min="21" max="21" width="10.7109375" style="224" hidden="1" customWidth="1"/>
    <col min="22" max="22" width="0" hidden="1" customWidth="1"/>
    <col min="23" max="23" width="7.42578125" hidden="1" customWidth="1"/>
    <col min="26" max="26" width="39.42578125" customWidth="1"/>
  </cols>
  <sheetData>
    <row r="1" spans="1:21" ht="30">
      <c r="A1" s="502" t="s">
        <v>446</v>
      </c>
      <c r="B1" s="502"/>
      <c r="C1" s="502"/>
      <c r="D1" s="502"/>
      <c r="E1" s="502"/>
      <c r="F1" s="502"/>
      <c r="G1" s="502"/>
      <c r="H1" s="502"/>
      <c r="I1" s="502"/>
      <c r="J1" s="502"/>
      <c r="K1" s="502"/>
      <c r="L1" s="502"/>
      <c r="M1" s="502"/>
      <c r="N1" s="502"/>
      <c r="O1" s="502"/>
      <c r="P1" s="502"/>
      <c r="Q1" s="502"/>
      <c r="R1" s="502"/>
      <c r="S1" s="502"/>
      <c r="T1" s="502"/>
      <c r="U1" s="5"/>
    </row>
    <row r="2" spans="1:21" ht="27.75">
      <c r="A2" s="503" t="s">
        <v>472</v>
      </c>
      <c r="B2" s="503"/>
      <c r="C2" s="503"/>
      <c r="D2" s="503"/>
      <c r="E2" s="503"/>
      <c r="F2" s="503"/>
      <c r="G2" s="503"/>
      <c r="H2" s="503"/>
      <c r="I2" s="503"/>
      <c r="J2" s="503"/>
      <c r="K2" s="503"/>
      <c r="L2" s="503"/>
      <c r="M2" s="503"/>
      <c r="N2" s="503"/>
      <c r="O2" s="503"/>
      <c r="P2" s="503"/>
      <c r="Q2" s="503"/>
      <c r="R2" s="503"/>
      <c r="S2" s="503"/>
      <c r="T2" s="503"/>
      <c r="U2" s="6"/>
    </row>
    <row r="3" spans="1:21" ht="19.149999999999999" customHeight="1">
      <c r="A3" s="503"/>
      <c r="B3" s="503"/>
      <c r="C3" s="503"/>
      <c r="D3" s="503"/>
      <c r="E3" s="503"/>
      <c r="F3" s="503"/>
      <c r="G3" s="503"/>
      <c r="H3" s="503"/>
      <c r="I3" s="503"/>
      <c r="J3" s="503"/>
      <c r="K3" s="503"/>
      <c r="L3" s="503"/>
      <c r="M3" s="503"/>
      <c r="N3" s="503"/>
      <c r="O3" s="503"/>
      <c r="P3" s="503"/>
      <c r="Q3" s="503"/>
      <c r="R3" s="503"/>
      <c r="S3" s="503"/>
      <c r="T3" s="503"/>
      <c r="U3" s="7"/>
    </row>
    <row r="4" spans="1:21" s="13" customFormat="1" ht="22.5" customHeight="1">
      <c r="A4" s="504" t="s">
        <v>0</v>
      </c>
      <c r="B4" s="504"/>
      <c r="C4" s="504"/>
      <c r="D4" s="504"/>
      <c r="E4" s="504"/>
      <c r="F4" s="504"/>
      <c r="G4" s="504"/>
      <c r="H4" s="504"/>
      <c r="I4" s="504"/>
      <c r="J4" s="504"/>
      <c r="K4" s="504"/>
      <c r="L4" s="504"/>
      <c r="M4" s="504"/>
      <c r="N4" s="504"/>
      <c r="O4" s="504"/>
      <c r="P4" s="504"/>
      <c r="Q4" s="504"/>
      <c r="R4" s="504"/>
      <c r="S4" s="504"/>
      <c r="T4" s="504"/>
      <c r="U4" s="12"/>
    </row>
    <row r="5" spans="1:21" s="13" customFormat="1" ht="40.9" customHeight="1">
      <c r="A5" s="505" t="s">
        <v>346</v>
      </c>
      <c r="B5" s="505"/>
      <c r="C5" s="505"/>
      <c r="D5" s="505"/>
      <c r="E5" s="505"/>
      <c r="F5" s="505"/>
      <c r="G5" s="505"/>
      <c r="H5" s="505"/>
      <c r="I5" s="505"/>
      <c r="J5" s="505"/>
      <c r="K5" s="505"/>
      <c r="L5" s="505"/>
      <c r="M5" s="505"/>
      <c r="N5" s="505"/>
      <c r="O5" s="505"/>
      <c r="P5" s="505"/>
      <c r="Q5" s="505"/>
      <c r="R5" s="505"/>
      <c r="S5" s="505"/>
      <c r="T5" s="505"/>
      <c r="U5" s="12"/>
    </row>
    <row r="6" spans="1:21" s="13" customFormat="1" ht="22.5" customHeight="1">
      <c r="A6" s="404" t="s">
        <v>66</v>
      </c>
      <c r="B6" s="404"/>
      <c r="C6" s="404"/>
      <c r="D6" s="404"/>
      <c r="E6" s="404"/>
      <c r="F6" s="404"/>
      <c r="G6" s="404"/>
      <c r="H6" s="404"/>
      <c r="I6" s="404"/>
      <c r="J6" s="404"/>
      <c r="K6" s="404" t="s">
        <v>67</v>
      </c>
      <c r="L6" s="404"/>
      <c r="M6" s="404"/>
      <c r="N6" s="404"/>
      <c r="O6" s="404"/>
      <c r="P6" s="404"/>
      <c r="Q6" s="404"/>
      <c r="R6" s="404"/>
      <c r="S6" s="404"/>
      <c r="T6" s="404"/>
      <c r="U6" s="12"/>
    </row>
    <row r="7" spans="1:21" s="13" customFormat="1" ht="32.450000000000003" customHeight="1">
      <c r="A7" s="495" t="s">
        <v>312</v>
      </c>
      <c r="B7" s="495"/>
      <c r="C7" s="495"/>
      <c r="D7" s="495"/>
      <c r="E7" s="495"/>
      <c r="F7" s="495"/>
      <c r="G7" s="495"/>
      <c r="H7" s="495"/>
      <c r="I7" s="495"/>
      <c r="J7" s="495"/>
      <c r="K7" s="406" t="s">
        <v>435</v>
      </c>
      <c r="L7" s="406"/>
      <c r="M7" s="406"/>
      <c r="N7" s="406"/>
      <c r="O7" s="406"/>
      <c r="P7" s="406"/>
      <c r="Q7" s="406"/>
      <c r="R7" s="406"/>
      <c r="S7" s="406"/>
      <c r="T7" s="406"/>
      <c r="U7" s="12"/>
    </row>
    <row r="8" spans="1:21" s="13" customFormat="1" ht="22.5" customHeight="1">
      <c r="A8" s="404" t="s">
        <v>69</v>
      </c>
      <c r="B8" s="404"/>
      <c r="C8" s="404"/>
      <c r="D8" s="404" t="s">
        <v>313</v>
      </c>
      <c r="E8" s="404"/>
      <c r="F8" s="404"/>
      <c r="G8" s="404"/>
      <c r="H8" s="404"/>
      <c r="I8" s="404"/>
      <c r="J8" s="404"/>
      <c r="K8" s="404"/>
      <c r="L8" s="404"/>
      <c r="M8" s="404"/>
      <c r="N8" s="404"/>
      <c r="O8" s="404"/>
      <c r="P8" s="404"/>
      <c r="Q8" s="404"/>
      <c r="R8" s="404"/>
      <c r="S8" s="404"/>
      <c r="T8" s="404"/>
      <c r="U8" s="12"/>
    </row>
    <row r="9" spans="1:21" s="13" customFormat="1" ht="273" customHeight="1">
      <c r="A9" s="472" t="s">
        <v>27</v>
      </c>
      <c r="B9" s="472"/>
      <c r="C9" s="472"/>
      <c r="D9" s="473" t="s">
        <v>438</v>
      </c>
      <c r="E9" s="473"/>
      <c r="F9" s="473"/>
      <c r="G9" s="473"/>
      <c r="H9" s="473"/>
      <c r="I9" s="473"/>
      <c r="J9" s="473"/>
      <c r="K9" s="473"/>
      <c r="L9" s="473"/>
      <c r="M9" s="473"/>
      <c r="N9" s="473"/>
      <c r="O9" s="473"/>
      <c r="P9" s="473"/>
      <c r="Q9" s="473"/>
      <c r="R9" s="473"/>
      <c r="S9" s="473"/>
      <c r="T9" s="473"/>
      <c r="U9" s="12"/>
    </row>
    <row r="10" spans="1:21" s="13" customFormat="1" ht="22.5" customHeight="1">
      <c r="A10" s="399" t="s">
        <v>17</v>
      </c>
      <c r="B10" s="399"/>
      <c r="C10" s="399"/>
      <c r="D10" s="399"/>
      <c r="E10" s="399"/>
      <c r="F10" s="399"/>
      <c r="G10" s="399"/>
      <c r="H10" s="399"/>
      <c r="I10" s="399"/>
      <c r="J10" s="399"/>
      <c r="K10" s="399"/>
      <c r="L10" s="399"/>
      <c r="M10" s="399"/>
      <c r="N10" s="399"/>
      <c r="O10" s="399"/>
      <c r="P10" s="399"/>
      <c r="Q10" s="399"/>
      <c r="R10" s="399"/>
      <c r="S10" s="399"/>
      <c r="T10" s="399"/>
      <c r="U10" s="12"/>
    </row>
    <row r="11" spans="1:21" s="13" customFormat="1" ht="22.5" customHeight="1">
      <c r="A11" s="426" t="s">
        <v>18</v>
      </c>
      <c r="B11" s="426"/>
      <c r="C11" s="426"/>
      <c r="D11" s="426"/>
      <c r="E11" s="426" t="s">
        <v>20</v>
      </c>
      <c r="F11" s="426"/>
      <c r="G11" s="426"/>
      <c r="H11" s="426"/>
      <c r="I11" s="426" t="s">
        <v>22</v>
      </c>
      <c r="J11" s="426"/>
      <c r="K11" s="426"/>
      <c r="L11" s="426"/>
      <c r="M11" s="426"/>
      <c r="N11" s="426"/>
      <c r="O11" s="426"/>
      <c r="P11" s="426"/>
      <c r="Q11" s="426" t="s">
        <v>24</v>
      </c>
      <c r="R11" s="426"/>
      <c r="S11" s="426"/>
      <c r="T11" s="426"/>
      <c r="U11" s="12"/>
    </row>
    <row r="12" spans="1:21" s="13" customFormat="1" ht="22.5" customHeight="1">
      <c r="A12" s="421" t="s">
        <v>19</v>
      </c>
      <c r="B12" s="421"/>
      <c r="C12" s="421"/>
      <c r="D12" s="421"/>
      <c r="E12" s="422" t="s">
        <v>21</v>
      </c>
      <c r="F12" s="422"/>
      <c r="G12" s="422"/>
      <c r="H12" s="422"/>
      <c r="I12" s="421" t="s">
        <v>23</v>
      </c>
      <c r="J12" s="421"/>
      <c r="K12" s="421"/>
      <c r="L12" s="421"/>
      <c r="M12" s="421"/>
      <c r="N12" s="421"/>
      <c r="O12" s="421"/>
      <c r="P12" s="421"/>
      <c r="Q12" s="421" t="s">
        <v>25</v>
      </c>
      <c r="R12" s="421"/>
      <c r="S12" s="421"/>
      <c r="T12" s="421"/>
      <c r="U12" s="12"/>
    </row>
    <row r="13" spans="1:21" s="13" customFormat="1" ht="22.5" customHeight="1">
      <c r="A13" s="423" t="s">
        <v>72</v>
      </c>
      <c r="B13" s="501" t="s">
        <v>73</v>
      </c>
      <c r="C13" s="423" t="s">
        <v>46</v>
      </c>
      <c r="D13" s="423" t="s">
        <v>28</v>
      </c>
      <c r="E13" s="424" t="s">
        <v>33</v>
      </c>
      <c r="F13" s="424" t="s">
        <v>34</v>
      </c>
      <c r="G13" s="424" t="s">
        <v>35</v>
      </c>
      <c r="H13" s="424" t="s">
        <v>36</v>
      </c>
      <c r="I13" s="424" t="s">
        <v>37</v>
      </c>
      <c r="J13" s="424" t="s">
        <v>38</v>
      </c>
      <c r="K13" s="424" t="s">
        <v>39</v>
      </c>
      <c r="L13" s="424" t="s">
        <v>40</v>
      </c>
      <c r="M13" s="424" t="s">
        <v>41</v>
      </c>
      <c r="N13" s="424" t="s">
        <v>47</v>
      </c>
      <c r="O13" s="424" t="s">
        <v>42</v>
      </c>
      <c r="P13" s="424" t="s">
        <v>43</v>
      </c>
      <c r="Q13" s="423" t="s">
        <v>74</v>
      </c>
      <c r="R13" s="423" t="s">
        <v>75</v>
      </c>
      <c r="S13" s="423" t="s">
        <v>76</v>
      </c>
      <c r="T13" s="423"/>
      <c r="U13" s="12"/>
    </row>
    <row r="14" spans="1:21" s="13" customFormat="1" ht="22.5" customHeight="1">
      <c r="A14" s="423"/>
      <c r="B14" s="501"/>
      <c r="C14" s="423"/>
      <c r="D14" s="423"/>
      <c r="E14" s="424"/>
      <c r="F14" s="424"/>
      <c r="G14" s="424"/>
      <c r="H14" s="424"/>
      <c r="I14" s="424"/>
      <c r="J14" s="424"/>
      <c r="K14" s="424"/>
      <c r="L14" s="424"/>
      <c r="M14" s="424"/>
      <c r="N14" s="424"/>
      <c r="O14" s="424"/>
      <c r="P14" s="424"/>
      <c r="Q14" s="423"/>
      <c r="R14" s="423"/>
      <c r="S14" s="281" t="s">
        <v>30</v>
      </c>
      <c r="T14" s="281" t="s">
        <v>77</v>
      </c>
      <c r="U14" s="12"/>
    </row>
    <row r="15" spans="1:21" s="13" customFormat="1" ht="27.6" customHeight="1">
      <c r="A15" s="459">
        <v>1</v>
      </c>
      <c r="B15" s="460" t="s">
        <v>314</v>
      </c>
      <c r="C15" s="378" t="s">
        <v>31</v>
      </c>
      <c r="D15" s="355" t="s">
        <v>464</v>
      </c>
      <c r="E15" s="284">
        <v>10</v>
      </c>
      <c r="F15" s="284">
        <v>10</v>
      </c>
      <c r="G15" s="284">
        <v>10</v>
      </c>
      <c r="H15" s="284">
        <v>10</v>
      </c>
      <c r="I15" s="284">
        <v>10</v>
      </c>
      <c r="J15" s="284">
        <v>10</v>
      </c>
      <c r="K15" s="284">
        <v>10</v>
      </c>
      <c r="L15" s="284">
        <v>10</v>
      </c>
      <c r="M15" s="284">
        <v>8</v>
      </c>
      <c r="N15" s="284">
        <v>8</v>
      </c>
      <c r="O15" s="284">
        <v>8</v>
      </c>
      <c r="P15" s="284">
        <v>8</v>
      </c>
      <c r="Q15" s="417">
        <v>991150</v>
      </c>
      <c r="R15" s="284">
        <f>SUM(E15:P15)</f>
        <v>112</v>
      </c>
      <c r="S15" s="391" t="s">
        <v>315</v>
      </c>
      <c r="T15" s="391" t="s">
        <v>316</v>
      </c>
      <c r="U15" s="12"/>
    </row>
    <row r="16" spans="1:21" s="13" customFormat="1" ht="27.6" customHeight="1">
      <c r="A16" s="459"/>
      <c r="B16" s="460"/>
      <c r="C16" s="378"/>
      <c r="D16" s="355" t="s">
        <v>79</v>
      </c>
      <c r="E16" s="285">
        <v>2667711.66</v>
      </c>
      <c r="F16" s="285">
        <v>2146632.9700000002</v>
      </c>
      <c r="G16" s="285">
        <v>1899904.06</v>
      </c>
      <c r="H16" s="285">
        <v>2162414.94</v>
      </c>
      <c r="I16" s="285">
        <v>2139207.11</v>
      </c>
      <c r="J16" s="285">
        <v>2091618.19</v>
      </c>
      <c r="K16" s="285">
        <f>385493.33+904251.64+769596.03</f>
        <v>2059341</v>
      </c>
      <c r="L16" s="285">
        <f>371932.37+879597.79+767081.63</f>
        <v>2018611.79</v>
      </c>
      <c r="M16" s="285">
        <f>359422.98+897282.71+914029.21</f>
        <v>2170734.9</v>
      </c>
      <c r="N16" s="285">
        <f>453022.57+984708.29+890297.58</f>
        <v>2328028.44</v>
      </c>
      <c r="O16" s="285">
        <f>493011.84+1076642.4+1597994.54</f>
        <v>3167648.7800000003</v>
      </c>
      <c r="P16" s="285">
        <f>2345995.35+2072986.51+2019717.25</f>
        <v>6438699.1100000003</v>
      </c>
      <c r="Q16" s="417"/>
      <c r="R16" s="286">
        <f t="shared" ref="R16:R58" si="0">SUM(E16:P16)</f>
        <v>31290552.949999999</v>
      </c>
      <c r="S16" s="391"/>
      <c r="T16" s="391"/>
      <c r="U16" s="12"/>
    </row>
    <row r="17" spans="1:21" s="13" customFormat="1" ht="27.6" customHeight="1">
      <c r="A17" s="459"/>
      <c r="B17" s="460"/>
      <c r="C17" s="381" t="s">
        <v>45</v>
      </c>
      <c r="D17" s="356" t="str">
        <f>D15</f>
        <v>Información pública</v>
      </c>
      <c r="E17" s="287">
        <v>13</v>
      </c>
      <c r="F17" s="287">
        <v>10</v>
      </c>
      <c r="G17" s="287">
        <v>12</v>
      </c>
      <c r="H17" s="287">
        <v>11</v>
      </c>
      <c r="I17" s="287">
        <v>4</v>
      </c>
      <c r="J17" s="287">
        <v>2</v>
      </c>
      <c r="K17" s="287">
        <v>8</v>
      </c>
      <c r="L17" s="287">
        <v>10</v>
      </c>
      <c r="M17" s="287">
        <v>8</v>
      </c>
      <c r="N17" s="287">
        <v>8</v>
      </c>
      <c r="O17" s="287">
        <v>8</v>
      </c>
      <c r="P17" s="287">
        <v>8</v>
      </c>
      <c r="Q17" s="499"/>
      <c r="R17" s="287">
        <f t="shared" si="0"/>
        <v>102</v>
      </c>
      <c r="S17" s="393">
        <f>R17/R15</f>
        <v>0.9107142857142857</v>
      </c>
      <c r="T17" s="500">
        <f>R18/R16</f>
        <v>0.91092150003057071</v>
      </c>
      <c r="U17" s="12"/>
    </row>
    <row r="18" spans="1:21" s="13" customFormat="1" ht="52.5" customHeight="1">
      <c r="A18" s="459"/>
      <c r="B18" s="460"/>
      <c r="C18" s="381"/>
      <c r="D18" s="356" t="str">
        <f>D16</f>
        <v>Monto</v>
      </c>
      <c r="E18" s="288">
        <v>2667711.66</v>
      </c>
      <c r="F18" s="288">
        <v>2146632.9700000002</v>
      </c>
      <c r="G18" s="288">
        <v>1899904.06</v>
      </c>
      <c r="H18" s="288">
        <f>528178.63+854941.32+779294.99</f>
        <v>2162414.94</v>
      </c>
      <c r="I18" s="288">
        <f>472181.56+874601.86+792423.69</f>
        <v>2139207.11</v>
      </c>
      <c r="J18" s="288">
        <f>420205.1+864008.22+807404.87</f>
        <v>2091618.19</v>
      </c>
      <c r="K18" s="288">
        <f>385493.33+904251.64+769596.03</f>
        <v>2059341</v>
      </c>
      <c r="L18" s="288">
        <f>371932.37+879597.79+767081.63</f>
        <v>2018611.79</v>
      </c>
      <c r="M18" s="288">
        <f>359422.98+897282.71+914029.21</f>
        <v>2170734.9</v>
      </c>
      <c r="N18" s="288">
        <f>453022.57+984708.29+890297.58</f>
        <v>2328028.44</v>
      </c>
      <c r="O18" s="288">
        <f>493011.84+1076642.4+1597994.54</f>
        <v>3167648.7800000003</v>
      </c>
      <c r="P18" s="288">
        <v>3651383.59</v>
      </c>
      <c r="Q18" s="499"/>
      <c r="R18" s="33">
        <f t="shared" si="0"/>
        <v>28503237.43</v>
      </c>
      <c r="S18" s="393"/>
      <c r="T18" s="500"/>
      <c r="U18" s="12"/>
    </row>
    <row r="19" spans="1:21" s="13" customFormat="1" ht="22.5" customHeight="1">
      <c r="A19" s="459">
        <v>2</v>
      </c>
      <c r="B19" s="460" t="s">
        <v>462</v>
      </c>
      <c r="C19" s="378" t="s">
        <v>31</v>
      </c>
      <c r="D19" s="355" t="s">
        <v>317</v>
      </c>
      <c r="E19" s="284">
        <v>5</v>
      </c>
      <c r="F19" s="284">
        <v>4</v>
      </c>
      <c r="G19" s="284">
        <v>4</v>
      </c>
      <c r="H19" s="284">
        <v>4</v>
      </c>
      <c r="I19" s="284">
        <v>5</v>
      </c>
      <c r="J19" s="284">
        <v>4</v>
      </c>
      <c r="K19" s="284">
        <v>5</v>
      </c>
      <c r="L19" s="284">
        <v>4</v>
      </c>
      <c r="M19" s="284">
        <v>4</v>
      </c>
      <c r="N19" s="284">
        <v>5</v>
      </c>
      <c r="O19" s="284">
        <v>4</v>
      </c>
      <c r="P19" s="284">
        <v>4</v>
      </c>
      <c r="Q19" s="417">
        <v>7836</v>
      </c>
      <c r="R19" s="284">
        <f t="shared" si="0"/>
        <v>52</v>
      </c>
      <c r="S19" s="391" t="s">
        <v>318</v>
      </c>
      <c r="T19" s="391" t="s">
        <v>316</v>
      </c>
      <c r="U19" s="12"/>
    </row>
    <row r="20" spans="1:21" s="13" customFormat="1" ht="22.5" customHeight="1">
      <c r="A20" s="459"/>
      <c r="B20" s="460"/>
      <c r="C20" s="378"/>
      <c r="D20" s="355" t="s">
        <v>79</v>
      </c>
      <c r="E20" s="289">
        <v>184222.51</v>
      </c>
      <c r="F20" s="290">
        <v>167138.16</v>
      </c>
      <c r="G20" s="290">
        <v>167071.44</v>
      </c>
      <c r="H20" s="290">
        <v>167066.32</v>
      </c>
      <c r="I20" s="290">
        <v>175421.76</v>
      </c>
      <c r="J20" s="290">
        <v>168673.96</v>
      </c>
      <c r="K20" s="290">
        <v>168577.16</v>
      </c>
      <c r="L20" s="290">
        <v>143893.04</v>
      </c>
      <c r="M20" s="290">
        <v>199300.21000000002</v>
      </c>
      <c r="N20" s="291">
        <f>120797.95+60776.71</f>
        <v>181574.66</v>
      </c>
      <c r="O20" s="291">
        <f>210682.32+57139.62</f>
        <v>267821.94</v>
      </c>
      <c r="P20" s="290">
        <f>294623.72+330767.21</f>
        <v>625390.92999999993</v>
      </c>
      <c r="Q20" s="417"/>
      <c r="R20" s="286">
        <f t="shared" si="0"/>
        <v>2616152.09</v>
      </c>
      <c r="S20" s="391"/>
      <c r="T20" s="391"/>
      <c r="U20" s="12"/>
    </row>
    <row r="21" spans="1:21" s="13" customFormat="1" ht="22.5" customHeight="1">
      <c r="A21" s="459"/>
      <c r="B21" s="460"/>
      <c r="C21" s="381" t="s">
        <v>45</v>
      </c>
      <c r="D21" s="356" t="str">
        <f>D19</f>
        <v>Agenda</v>
      </c>
      <c r="E21" s="287">
        <v>5</v>
      </c>
      <c r="F21" s="287">
        <v>4</v>
      </c>
      <c r="G21" s="287">
        <v>4</v>
      </c>
      <c r="H21" s="287">
        <v>4</v>
      </c>
      <c r="I21" s="287">
        <v>5</v>
      </c>
      <c r="J21" s="287">
        <v>4</v>
      </c>
      <c r="K21" s="287">
        <v>5</v>
      </c>
      <c r="L21" s="287">
        <v>4</v>
      </c>
      <c r="M21" s="287">
        <v>4</v>
      </c>
      <c r="N21" s="287">
        <v>5</v>
      </c>
      <c r="O21" s="287">
        <v>4</v>
      </c>
      <c r="P21" s="287">
        <v>4</v>
      </c>
      <c r="Q21" s="499"/>
      <c r="R21" s="287">
        <f t="shared" si="0"/>
        <v>52</v>
      </c>
      <c r="S21" s="393">
        <f>R21/R19</f>
        <v>1</v>
      </c>
      <c r="T21" s="500">
        <f>R22/R20</f>
        <v>0.8916469072713582</v>
      </c>
      <c r="U21" s="12"/>
    </row>
    <row r="22" spans="1:21" s="13" customFormat="1" ht="22.5" customHeight="1">
      <c r="A22" s="459"/>
      <c r="B22" s="460"/>
      <c r="C22" s="381"/>
      <c r="D22" s="356" t="str">
        <f>D20</f>
        <v>Monto</v>
      </c>
      <c r="E22" s="288">
        <v>184222.51</v>
      </c>
      <c r="F22" s="288">
        <v>167138.16</v>
      </c>
      <c r="G22" s="288">
        <v>167071.44</v>
      </c>
      <c r="H22" s="288">
        <f>109975.39+57090.93</f>
        <v>167066.32</v>
      </c>
      <c r="I22" s="292">
        <f>118330.83+57090.93</f>
        <v>175421.76</v>
      </c>
      <c r="J22" s="288">
        <f>111583.03+57090.93</f>
        <v>168673.96</v>
      </c>
      <c r="K22" s="288">
        <f>111486.23+57090.93</f>
        <v>168577.16</v>
      </c>
      <c r="L22" s="288">
        <f>79991.75+63901.29</f>
        <v>143893.04</v>
      </c>
      <c r="M22" s="288">
        <f>141852.14+57448.07</f>
        <v>199300.21000000002</v>
      </c>
      <c r="N22" s="288">
        <f>120797.95+60776.71</f>
        <v>181574.66</v>
      </c>
      <c r="O22" s="288">
        <f>210682.32+57139.62</f>
        <v>267821.94</v>
      </c>
      <c r="P22" s="288">
        <v>341922.76</v>
      </c>
      <c r="Q22" s="499"/>
      <c r="R22" s="33">
        <f t="shared" si="0"/>
        <v>2332683.92</v>
      </c>
      <c r="S22" s="393"/>
      <c r="T22" s="500"/>
      <c r="U22" s="12"/>
    </row>
    <row r="23" spans="1:21" s="13" customFormat="1" ht="29.25" customHeight="1">
      <c r="A23" s="459">
        <v>3</v>
      </c>
      <c r="B23" s="460" t="s">
        <v>319</v>
      </c>
      <c r="C23" s="378" t="s">
        <v>31</v>
      </c>
      <c r="D23" s="355" t="s">
        <v>320</v>
      </c>
      <c r="E23" s="284">
        <v>6</v>
      </c>
      <c r="F23" s="284">
        <v>6</v>
      </c>
      <c r="G23" s="284">
        <v>6</v>
      </c>
      <c r="H23" s="284">
        <v>6</v>
      </c>
      <c r="I23" s="284">
        <v>6</v>
      </c>
      <c r="J23" s="284">
        <v>6</v>
      </c>
      <c r="K23" s="284">
        <v>6</v>
      </c>
      <c r="L23" s="284">
        <v>6</v>
      </c>
      <c r="M23" s="284">
        <v>6</v>
      </c>
      <c r="N23" s="284">
        <v>6</v>
      </c>
      <c r="O23" s="284">
        <v>6</v>
      </c>
      <c r="P23" s="284">
        <v>6</v>
      </c>
      <c r="Q23" s="390">
        <v>991150</v>
      </c>
      <c r="R23" s="284">
        <f t="shared" si="0"/>
        <v>72</v>
      </c>
      <c r="S23" s="391" t="s">
        <v>321</v>
      </c>
      <c r="T23" s="391" t="s">
        <v>316</v>
      </c>
      <c r="U23" s="12"/>
    </row>
    <row r="24" spans="1:21" s="13" customFormat="1" ht="29.25" customHeight="1">
      <c r="A24" s="459"/>
      <c r="B24" s="460"/>
      <c r="C24" s="378"/>
      <c r="D24" s="355" t="s">
        <v>79</v>
      </c>
      <c r="E24" s="290">
        <v>330153.94</v>
      </c>
      <c r="F24" s="290">
        <v>306167.02</v>
      </c>
      <c r="G24" s="290">
        <v>268920.21999999997</v>
      </c>
      <c r="H24" s="290">
        <v>274603.88</v>
      </c>
      <c r="I24" s="290">
        <v>294692.96000000002</v>
      </c>
      <c r="J24" s="290">
        <v>283162.19</v>
      </c>
      <c r="K24" s="290">
        <v>305838.21999999997</v>
      </c>
      <c r="L24" s="290">
        <v>276602.90999999997</v>
      </c>
      <c r="M24" s="290">
        <v>275746.31</v>
      </c>
      <c r="N24" s="290">
        <v>296776.96999999997</v>
      </c>
      <c r="O24" s="290">
        <v>280107.09999999998</v>
      </c>
      <c r="P24" s="290">
        <v>771841.96</v>
      </c>
      <c r="Q24" s="390"/>
      <c r="R24" s="286">
        <f t="shared" si="0"/>
        <v>3964613.68</v>
      </c>
      <c r="S24" s="391"/>
      <c r="T24" s="391"/>
      <c r="U24" s="12"/>
    </row>
    <row r="25" spans="1:21" s="13" customFormat="1" ht="29.25" customHeight="1">
      <c r="A25" s="459"/>
      <c r="B25" s="460"/>
      <c r="C25" s="381" t="s">
        <v>45</v>
      </c>
      <c r="D25" s="356" t="str">
        <f>D23</f>
        <v>Asuntos</v>
      </c>
      <c r="E25" s="287">
        <v>6</v>
      </c>
      <c r="F25" s="287">
        <v>6</v>
      </c>
      <c r="G25" s="287">
        <v>6</v>
      </c>
      <c r="H25" s="287">
        <v>6</v>
      </c>
      <c r="I25" s="287">
        <v>6</v>
      </c>
      <c r="J25" s="287">
        <v>6</v>
      </c>
      <c r="K25" s="287">
        <v>6</v>
      </c>
      <c r="L25" s="287">
        <v>6</v>
      </c>
      <c r="M25" s="287">
        <v>6</v>
      </c>
      <c r="N25" s="287">
        <v>6</v>
      </c>
      <c r="O25" s="287">
        <v>6</v>
      </c>
      <c r="P25" s="287">
        <v>6</v>
      </c>
      <c r="Q25" s="394"/>
      <c r="R25" s="287">
        <f t="shared" si="0"/>
        <v>72</v>
      </c>
      <c r="S25" s="393">
        <f>R25/R23</f>
        <v>1</v>
      </c>
      <c r="T25" s="500">
        <f>R26/R24</f>
        <v>0.89743731348876343</v>
      </c>
      <c r="U25" s="12"/>
    </row>
    <row r="26" spans="1:21" s="13" customFormat="1" ht="29.25" customHeight="1">
      <c r="A26" s="459"/>
      <c r="B26" s="460"/>
      <c r="C26" s="381"/>
      <c r="D26" s="356" t="str">
        <f>D24</f>
        <v>Monto</v>
      </c>
      <c r="E26" s="294">
        <v>330153.94</v>
      </c>
      <c r="F26" s="294">
        <v>306167.02</v>
      </c>
      <c r="G26" s="294">
        <v>268920.21999999997</v>
      </c>
      <c r="H26" s="294">
        <v>274603.88</v>
      </c>
      <c r="I26" s="294">
        <v>294692.96000000002</v>
      </c>
      <c r="J26" s="294">
        <v>283162.19</v>
      </c>
      <c r="K26" s="294">
        <v>305838.21999999997</v>
      </c>
      <c r="L26" s="294">
        <v>276602.90999999997</v>
      </c>
      <c r="M26" s="294">
        <v>275746.31</v>
      </c>
      <c r="N26" s="294">
        <v>296776.96999999997</v>
      </c>
      <c r="O26" s="294">
        <v>280107.09999999998</v>
      </c>
      <c r="P26" s="294">
        <v>365220.53</v>
      </c>
      <c r="Q26" s="394"/>
      <c r="R26" s="33">
        <f t="shared" si="0"/>
        <v>3557992.25</v>
      </c>
      <c r="S26" s="393"/>
      <c r="T26" s="500"/>
      <c r="U26" s="12"/>
    </row>
    <row r="27" spans="1:21" s="13" customFormat="1" ht="22.5" customHeight="1">
      <c r="A27" s="459">
        <v>4</v>
      </c>
      <c r="B27" s="460" t="s">
        <v>322</v>
      </c>
      <c r="C27" s="378" t="s">
        <v>31</v>
      </c>
      <c r="D27" s="355" t="s">
        <v>323</v>
      </c>
      <c r="E27" s="284">
        <v>2</v>
      </c>
      <c r="F27" s="284">
        <v>1</v>
      </c>
      <c r="G27" s="284">
        <v>2</v>
      </c>
      <c r="H27" s="284">
        <v>1</v>
      </c>
      <c r="I27" s="284">
        <v>2</v>
      </c>
      <c r="J27" s="284">
        <v>1</v>
      </c>
      <c r="K27" s="284">
        <v>1</v>
      </c>
      <c r="L27" s="284">
        <v>1</v>
      </c>
      <c r="M27" s="284">
        <v>1</v>
      </c>
      <c r="N27" s="284">
        <v>1</v>
      </c>
      <c r="O27" s="284">
        <v>1</v>
      </c>
      <c r="P27" s="284">
        <v>1</v>
      </c>
      <c r="Q27" s="417">
        <v>991150</v>
      </c>
      <c r="R27" s="284">
        <f t="shared" si="0"/>
        <v>15</v>
      </c>
      <c r="S27" s="391" t="s">
        <v>324</v>
      </c>
      <c r="T27" s="391" t="s">
        <v>316</v>
      </c>
      <c r="U27" s="12"/>
    </row>
    <row r="28" spans="1:21" s="13" customFormat="1" ht="22.5" customHeight="1">
      <c r="A28" s="459"/>
      <c r="B28" s="460"/>
      <c r="C28" s="378"/>
      <c r="D28" s="355" t="s">
        <v>79</v>
      </c>
      <c r="E28" s="290">
        <v>37566.67</v>
      </c>
      <c r="F28" s="290">
        <v>36523.769999999997</v>
      </c>
      <c r="G28" s="290">
        <v>37331.85</v>
      </c>
      <c r="H28" s="290">
        <v>37673.11</v>
      </c>
      <c r="I28" s="290">
        <v>37673.11</v>
      </c>
      <c r="J28" s="290">
        <v>37673.11</v>
      </c>
      <c r="K28" s="290">
        <v>37673.11</v>
      </c>
      <c r="L28" s="290">
        <v>37673.11</v>
      </c>
      <c r="M28" s="290">
        <v>37673.11</v>
      </c>
      <c r="N28" s="290">
        <v>37673.11</v>
      </c>
      <c r="O28" s="290">
        <v>37190.620000000003</v>
      </c>
      <c r="P28" s="290">
        <v>73125.570000000007</v>
      </c>
      <c r="Q28" s="417"/>
      <c r="R28" s="286">
        <f t="shared" si="0"/>
        <v>485450.24999999994</v>
      </c>
      <c r="S28" s="391"/>
      <c r="T28" s="391"/>
      <c r="U28" s="12"/>
    </row>
    <row r="29" spans="1:21" s="13" customFormat="1" ht="22.5" customHeight="1">
      <c r="A29" s="459"/>
      <c r="B29" s="460"/>
      <c r="C29" s="381" t="s">
        <v>45</v>
      </c>
      <c r="D29" s="356" t="str">
        <f>D27</f>
        <v>Obras</v>
      </c>
      <c r="E29" s="287">
        <v>2</v>
      </c>
      <c r="F29" s="287">
        <v>1</v>
      </c>
      <c r="G29" s="287">
        <v>2</v>
      </c>
      <c r="H29" s="287">
        <v>1</v>
      </c>
      <c r="I29" s="287">
        <v>1</v>
      </c>
      <c r="J29" s="287">
        <v>1</v>
      </c>
      <c r="K29" s="287">
        <v>1</v>
      </c>
      <c r="L29" s="295">
        <v>1</v>
      </c>
      <c r="M29" s="287">
        <v>1</v>
      </c>
      <c r="N29" s="287">
        <v>1</v>
      </c>
      <c r="O29" s="287">
        <v>1</v>
      </c>
      <c r="P29" s="287">
        <v>1</v>
      </c>
      <c r="Q29" s="499"/>
      <c r="R29" s="287">
        <f t="shared" si="0"/>
        <v>14</v>
      </c>
      <c r="S29" s="393">
        <f>R29/R27</f>
        <v>0.93333333333333335</v>
      </c>
      <c r="T29" s="500">
        <f>R30/R28</f>
        <v>0.93061517632342339</v>
      </c>
      <c r="U29" s="12"/>
    </row>
    <row r="30" spans="1:21" s="13" customFormat="1" ht="22.5" customHeight="1">
      <c r="A30" s="459"/>
      <c r="B30" s="460"/>
      <c r="C30" s="381"/>
      <c r="D30" s="356" t="str">
        <f>D28</f>
        <v>Monto</v>
      </c>
      <c r="E30" s="294">
        <v>37566.67</v>
      </c>
      <c r="F30" s="294">
        <v>36523.769999999997</v>
      </c>
      <c r="G30" s="294">
        <v>37331.85</v>
      </c>
      <c r="H30" s="294">
        <v>37673.11</v>
      </c>
      <c r="I30" s="294">
        <v>37673.11</v>
      </c>
      <c r="J30" s="294">
        <v>37673.11</v>
      </c>
      <c r="K30" s="294">
        <v>37673.11</v>
      </c>
      <c r="L30" s="294">
        <v>37673.11</v>
      </c>
      <c r="M30" s="294">
        <v>37673.11</v>
      </c>
      <c r="N30" s="294">
        <v>37673.11</v>
      </c>
      <c r="O30" s="294">
        <v>37190.620000000003</v>
      </c>
      <c r="P30" s="294">
        <v>39442.69</v>
      </c>
      <c r="Q30" s="499"/>
      <c r="R30" s="33">
        <f t="shared" si="0"/>
        <v>451767.36999999994</v>
      </c>
      <c r="S30" s="393"/>
      <c r="T30" s="500"/>
      <c r="U30" s="12"/>
    </row>
    <row r="31" spans="1:21" s="13" customFormat="1" ht="22.5" customHeight="1">
      <c r="A31" s="459">
        <v>5</v>
      </c>
      <c r="B31" s="460" t="s">
        <v>325</v>
      </c>
      <c r="C31" s="378" t="s">
        <v>31</v>
      </c>
      <c r="D31" s="355" t="s">
        <v>326</v>
      </c>
      <c r="E31" s="284">
        <v>8</v>
      </c>
      <c r="F31" s="284">
        <v>8</v>
      </c>
      <c r="G31" s="284">
        <v>8</v>
      </c>
      <c r="H31" s="284">
        <v>8</v>
      </c>
      <c r="I31" s="284">
        <v>8</v>
      </c>
      <c r="J31" s="284">
        <v>8</v>
      </c>
      <c r="K31" s="284">
        <v>5</v>
      </c>
      <c r="L31" s="284">
        <v>3</v>
      </c>
      <c r="M31" s="284">
        <v>3</v>
      </c>
      <c r="N31" s="284">
        <v>5</v>
      </c>
      <c r="O31" s="284">
        <v>4</v>
      </c>
      <c r="P31" s="284">
        <v>4</v>
      </c>
      <c r="Q31" s="417">
        <v>991150</v>
      </c>
      <c r="R31" s="284">
        <f t="shared" si="0"/>
        <v>72</v>
      </c>
      <c r="S31" s="391" t="s">
        <v>327</v>
      </c>
      <c r="T31" s="391" t="s">
        <v>316</v>
      </c>
      <c r="U31" s="12"/>
    </row>
    <row r="32" spans="1:21" s="13" customFormat="1" ht="22.5" customHeight="1">
      <c r="A32" s="459"/>
      <c r="B32" s="460"/>
      <c r="C32" s="378"/>
      <c r="D32" s="355" t="s">
        <v>79</v>
      </c>
      <c r="E32" s="290">
        <v>28923.99</v>
      </c>
      <c r="F32" s="290">
        <v>26581.07</v>
      </c>
      <c r="G32" s="290">
        <v>26581.07</v>
      </c>
      <c r="H32" s="290">
        <v>26837.75</v>
      </c>
      <c r="I32" s="290">
        <v>31159.55</v>
      </c>
      <c r="J32" s="290">
        <v>26837.75</v>
      </c>
      <c r="K32" s="290">
        <v>26837.75</v>
      </c>
      <c r="L32" s="290">
        <v>26837.75</v>
      </c>
      <c r="M32" s="290">
        <v>26837.75</v>
      </c>
      <c r="N32" s="290">
        <v>26837.75</v>
      </c>
      <c r="O32" s="290">
        <v>26544.09</v>
      </c>
      <c r="P32" s="290">
        <v>90729.9</v>
      </c>
      <c r="Q32" s="417"/>
      <c r="R32" s="286">
        <f t="shared" si="0"/>
        <v>391546.17000000004</v>
      </c>
      <c r="S32" s="391"/>
      <c r="T32" s="391"/>
      <c r="U32" s="12"/>
    </row>
    <row r="33" spans="1:21" s="13" customFormat="1" ht="22.5" customHeight="1">
      <c r="A33" s="459"/>
      <c r="B33" s="460"/>
      <c r="C33" s="381" t="s">
        <v>45</v>
      </c>
      <c r="D33" s="356" t="str">
        <f>D31</f>
        <v>Revisión</v>
      </c>
      <c r="E33" s="287">
        <v>7</v>
      </c>
      <c r="F33" s="287">
        <v>5</v>
      </c>
      <c r="G33" s="287">
        <v>5</v>
      </c>
      <c r="H33" s="287">
        <v>5</v>
      </c>
      <c r="I33" s="287">
        <v>5</v>
      </c>
      <c r="J33" s="287">
        <v>6</v>
      </c>
      <c r="K33" s="287">
        <v>6</v>
      </c>
      <c r="L33" s="287">
        <v>3</v>
      </c>
      <c r="M33" s="287">
        <v>3</v>
      </c>
      <c r="N33" s="287">
        <v>5</v>
      </c>
      <c r="O33" s="287">
        <v>5</v>
      </c>
      <c r="P33" s="287">
        <v>5</v>
      </c>
      <c r="Q33" s="499"/>
      <c r="R33" s="287">
        <f t="shared" si="0"/>
        <v>60</v>
      </c>
      <c r="S33" s="393">
        <f>R33/R31</f>
        <v>0.83333333333333337</v>
      </c>
      <c r="T33" s="500">
        <f>R34/R32</f>
        <v>0.83572269395458521</v>
      </c>
      <c r="U33" s="12"/>
    </row>
    <row r="34" spans="1:21" s="13" customFormat="1" ht="22.5" customHeight="1">
      <c r="A34" s="459"/>
      <c r="B34" s="460"/>
      <c r="C34" s="381"/>
      <c r="D34" s="356" t="str">
        <f>D32</f>
        <v>Monto</v>
      </c>
      <c r="E34" s="294">
        <v>28923.99</v>
      </c>
      <c r="F34" s="294">
        <v>26581.07</v>
      </c>
      <c r="G34" s="294">
        <v>26581.07</v>
      </c>
      <c r="H34" s="294">
        <v>26837.75</v>
      </c>
      <c r="I34" s="294">
        <v>31159.55</v>
      </c>
      <c r="J34" s="294">
        <v>26837.75</v>
      </c>
      <c r="K34" s="294">
        <v>26837.75</v>
      </c>
      <c r="L34" s="294">
        <v>26837.75</v>
      </c>
      <c r="M34" s="294">
        <v>26837.75</v>
      </c>
      <c r="N34" s="294">
        <v>26837.75</v>
      </c>
      <c r="O34" s="294">
        <v>26544.09</v>
      </c>
      <c r="P34" s="294">
        <v>26407.75</v>
      </c>
      <c r="Q34" s="499"/>
      <c r="R34" s="33">
        <f t="shared" si="0"/>
        <v>327224.02</v>
      </c>
      <c r="S34" s="393"/>
      <c r="T34" s="500"/>
      <c r="U34" s="12"/>
    </row>
    <row r="35" spans="1:21" s="13" customFormat="1" ht="46.15" customHeight="1">
      <c r="A35" s="459">
        <v>6</v>
      </c>
      <c r="B35" s="460" t="s">
        <v>328</v>
      </c>
      <c r="C35" s="378" t="s">
        <v>31</v>
      </c>
      <c r="D35" s="355" t="s">
        <v>329</v>
      </c>
      <c r="E35" s="284">
        <v>31</v>
      </c>
      <c r="F35" s="284">
        <v>28</v>
      </c>
      <c r="G35" s="284">
        <v>31</v>
      </c>
      <c r="H35" s="284">
        <v>30</v>
      </c>
      <c r="I35" s="284">
        <v>31</v>
      </c>
      <c r="J35" s="284">
        <v>30</v>
      </c>
      <c r="K35" s="284">
        <v>31</v>
      </c>
      <c r="L35" s="284">
        <v>31</v>
      </c>
      <c r="M35" s="284">
        <v>30</v>
      </c>
      <c r="N35" s="284">
        <v>31</v>
      </c>
      <c r="O35" s="284">
        <v>30</v>
      </c>
      <c r="P35" s="284">
        <v>31</v>
      </c>
      <c r="Q35" s="417">
        <v>991150</v>
      </c>
      <c r="R35" s="284">
        <f t="shared" si="0"/>
        <v>365</v>
      </c>
      <c r="S35" s="391" t="s">
        <v>330</v>
      </c>
      <c r="T35" s="391" t="s">
        <v>316</v>
      </c>
      <c r="U35" s="12"/>
    </row>
    <row r="36" spans="1:21" s="13" customFormat="1" ht="46.15" customHeight="1">
      <c r="A36" s="459"/>
      <c r="B36" s="460"/>
      <c r="C36" s="378"/>
      <c r="D36" s="355" t="s">
        <v>79</v>
      </c>
      <c r="E36" s="290">
        <v>111163.36</v>
      </c>
      <c r="F36" s="290">
        <v>100386.36</v>
      </c>
      <c r="G36" s="290">
        <v>99854.080000000002</v>
      </c>
      <c r="H36" s="290">
        <v>107658.69</v>
      </c>
      <c r="I36" s="290">
        <v>114640.43</v>
      </c>
      <c r="J36" s="290">
        <v>102413.34</v>
      </c>
      <c r="K36" s="290">
        <v>106722.11</v>
      </c>
      <c r="L36" s="290">
        <v>112537.43</v>
      </c>
      <c r="M36" s="290">
        <v>109734.66</v>
      </c>
      <c r="N36" s="290">
        <v>117215.31</v>
      </c>
      <c r="O36" s="290">
        <v>109941.34</v>
      </c>
      <c r="P36" s="290">
        <v>425174.7</v>
      </c>
      <c r="Q36" s="417"/>
      <c r="R36" s="286">
        <f t="shared" si="0"/>
        <v>1617441.8099999998</v>
      </c>
      <c r="S36" s="391"/>
      <c r="T36" s="391"/>
      <c r="U36" s="12"/>
    </row>
    <row r="37" spans="1:21" s="13" customFormat="1" ht="22.5" customHeight="1">
      <c r="A37" s="459"/>
      <c r="B37" s="460"/>
      <c r="C37" s="381" t="s">
        <v>45</v>
      </c>
      <c r="D37" s="356" t="str">
        <f>D35</f>
        <v>Síntesis informativa</v>
      </c>
      <c r="E37" s="287">
        <v>138</v>
      </c>
      <c r="F37" s="287">
        <v>126</v>
      </c>
      <c r="G37" s="287">
        <v>158</v>
      </c>
      <c r="H37" s="287">
        <v>139</v>
      </c>
      <c r="I37" s="287">
        <v>119</v>
      </c>
      <c r="J37" s="287">
        <v>145</v>
      </c>
      <c r="K37" s="287">
        <v>26</v>
      </c>
      <c r="L37" s="287">
        <v>26</v>
      </c>
      <c r="M37" s="287">
        <v>26</v>
      </c>
      <c r="N37" s="287">
        <v>26</v>
      </c>
      <c r="O37" s="287">
        <v>26</v>
      </c>
      <c r="P37" s="287">
        <v>27</v>
      </c>
      <c r="Q37" s="499"/>
      <c r="R37" s="287">
        <f t="shared" si="0"/>
        <v>982</v>
      </c>
      <c r="S37" s="393">
        <f>R37/R35</f>
        <v>2.6904109589041094</v>
      </c>
      <c r="T37" s="500">
        <f>R38/R36</f>
        <v>0.83097680033385557</v>
      </c>
      <c r="U37" s="12"/>
    </row>
    <row r="38" spans="1:21" s="13" customFormat="1" ht="22.5" customHeight="1">
      <c r="A38" s="459"/>
      <c r="B38" s="460"/>
      <c r="C38" s="381"/>
      <c r="D38" s="356" t="str">
        <f>D36</f>
        <v>Monto</v>
      </c>
      <c r="E38" s="294">
        <v>111163.36</v>
      </c>
      <c r="F38" s="294">
        <v>100386.36</v>
      </c>
      <c r="G38" s="294">
        <v>99854.080000000002</v>
      </c>
      <c r="H38" s="294">
        <v>107658.69</v>
      </c>
      <c r="I38" s="294">
        <v>114640.43</v>
      </c>
      <c r="J38" s="294">
        <v>102413.34</v>
      </c>
      <c r="K38" s="294">
        <v>106722.11</v>
      </c>
      <c r="L38" s="294">
        <v>112537.43</v>
      </c>
      <c r="M38" s="294">
        <v>109734.66</v>
      </c>
      <c r="N38" s="294">
        <v>117215.31</v>
      </c>
      <c r="O38" s="294">
        <v>109941.34</v>
      </c>
      <c r="P38" s="294">
        <v>151789.51</v>
      </c>
      <c r="Q38" s="499"/>
      <c r="R38" s="33">
        <f t="shared" si="0"/>
        <v>1344056.6199999999</v>
      </c>
      <c r="S38" s="393"/>
      <c r="T38" s="500"/>
      <c r="U38" s="12"/>
    </row>
    <row r="39" spans="1:21" s="13" customFormat="1" ht="48.75" customHeight="1">
      <c r="A39" s="459">
        <v>7</v>
      </c>
      <c r="B39" s="460" t="s">
        <v>331</v>
      </c>
      <c r="C39" s="378" t="s">
        <v>31</v>
      </c>
      <c r="D39" s="355" t="s">
        <v>332</v>
      </c>
      <c r="E39" s="284">
        <v>65</v>
      </c>
      <c r="F39" s="284">
        <v>24</v>
      </c>
      <c r="G39" s="284">
        <v>58</v>
      </c>
      <c r="H39" s="284">
        <v>18</v>
      </c>
      <c r="I39" s="284">
        <v>18</v>
      </c>
      <c r="J39" s="284">
        <v>20</v>
      </c>
      <c r="K39" s="284">
        <v>8</v>
      </c>
      <c r="L39" s="284">
        <v>8</v>
      </c>
      <c r="M39" s="284">
        <v>8</v>
      </c>
      <c r="N39" s="284">
        <v>8</v>
      </c>
      <c r="O39" s="284">
        <v>8</v>
      </c>
      <c r="P39" s="284">
        <v>8</v>
      </c>
      <c r="Q39" s="417">
        <v>991150</v>
      </c>
      <c r="R39" s="284">
        <f t="shared" si="0"/>
        <v>251</v>
      </c>
      <c r="S39" s="391" t="s">
        <v>333</v>
      </c>
      <c r="T39" s="391" t="s">
        <v>316</v>
      </c>
      <c r="U39" s="12"/>
    </row>
    <row r="40" spans="1:21" s="13" customFormat="1" ht="48.75" customHeight="1">
      <c r="A40" s="459"/>
      <c r="B40" s="460"/>
      <c r="C40" s="378"/>
      <c r="D40" s="355" t="s">
        <v>79</v>
      </c>
      <c r="E40" s="290">
        <v>617791.06999999995</v>
      </c>
      <c r="F40" s="290">
        <v>652319.84</v>
      </c>
      <c r="G40" s="290">
        <v>601225.93999999994</v>
      </c>
      <c r="H40" s="290">
        <v>501712.09</v>
      </c>
      <c r="I40" s="290">
        <v>561351.71</v>
      </c>
      <c r="J40" s="290">
        <v>528356.92000000004</v>
      </c>
      <c r="K40" s="290">
        <v>587497.09000000008</v>
      </c>
      <c r="L40" s="290">
        <v>4418580.3100000005</v>
      </c>
      <c r="M40" s="290">
        <v>569112.93999999994</v>
      </c>
      <c r="N40" s="290">
        <f>3628878.09+213009.67+187077.83</f>
        <v>4028965.59</v>
      </c>
      <c r="O40" s="290">
        <f>2454456.35+201821.95+207530.5</f>
        <v>2863808.8000000003</v>
      </c>
      <c r="P40" s="290">
        <f>36508416.11+472835.57+515163.57</f>
        <v>37496415.25</v>
      </c>
      <c r="Q40" s="417"/>
      <c r="R40" s="290">
        <f t="shared" si="0"/>
        <v>53427137.549999997</v>
      </c>
      <c r="S40" s="391"/>
      <c r="T40" s="391"/>
      <c r="U40" s="12"/>
    </row>
    <row r="41" spans="1:21" s="13" customFormat="1" ht="48.75" customHeight="1">
      <c r="A41" s="459"/>
      <c r="B41" s="460"/>
      <c r="C41" s="381" t="s">
        <v>45</v>
      </c>
      <c r="D41" s="356" t="str">
        <f>D39</f>
        <v>Asuntos jurídicos</v>
      </c>
      <c r="E41" s="287">
        <v>29</v>
      </c>
      <c r="F41" s="287">
        <v>26</v>
      </c>
      <c r="G41" s="287">
        <v>16</v>
      </c>
      <c r="H41" s="287">
        <v>2</v>
      </c>
      <c r="I41" s="287">
        <v>2</v>
      </c>
      <c r="J41" s="287">
        <v>2</v>
      </c>
      <c r="K41" s="287">
        <v>16</v>
      </c>
      <c r="L41" s="287">
        <v>16</v>
      </c>
      <c r="M41" s="287">
        <v>18</v>
      </c>
      <c r="N41" s="287">
        <v>10</v>
      </c>
      <c r="O41" s="287">
        <v>14</v>
      </c>
      <c r="P41" s="287">
        <v>10</v>
      </c>
      <c r="Q41" s="499">
        <f>Q39*S41</f>
        <v>635757.56972111552</v>
      </c>
      <c r="R41" s="287">
        <f t="shared" si="0"/>
        <v>161</v>
      </c>
      <c r="S41" s="393">
        <f>R41/R39</f>
        <v>0.64143426294820716</v>
      </c>
      <c r="T41" s="500">
        <f>R42/R40</f>
        <v>0.93854450602135997</v>
      </c>
      <c r="U41" s="12"/>
    </row>
    <row r="42" spans="1:21" s="13" customFormat="1" ht="72" customHeight="1">
      <c r="A42" s="459"/>
      <c r="B42" s="460"/>
      <c r="C42" s="381"/>
      <c r="D42" s="356" t="str">
        <f>D40</f>
        <v>Monto</v>
      </c>
      <c r="E42" s="294">
        <v>617791.06999999995</v>
      </c>
      <c r="F42" s="294">
        <v>652319.84</v>
      </c>
      <c r="G42" s="294">
        <v>601225.93999999994</v>
      </c>
      <c r="H42" s="294">
        <f>159472.95+221096.59+121142.55</f>
        <v>501712.09</v>
      </c>
      <c r="I42" s="294">
        <f>189493.01+237172.73+134685.97</f>
        <v>561351.71</v>
      </c>
      <c r="J42" s="294">
        <f>175431.71+228185.04+124740.17</f>
        <v>528356.92000000004</v>
      </c>
      <c r="K42" s="294">
        <f>219381.9+240697.12+127418.07</f>
        <v>587497.09000000008</v>
      </c>
      <c r="L42" s="294">
        <f>4096854.34+193233.4+128492.57</f>
        <v>4418580.3100000005</v>
      </c>
      <c r="M42" s="294">
        <f>244697.08+194618.22+129797.64</f>
        <v>569112.93999999994</v>
      </c>
      <c r="N42" s="294">
        <f>3628878.09+213009.67+187077.83</f>
        <v>4028965.59</v>
      </c>
      <c r="O42" s="294">
        <f>2454456.35+201821.95+207530.5</f>
        <v>2863808.8000000003</v>
      </c>
      <c r="P42" s="294">
        <v>34213024.119999997</v>
      </c>
      <c r="Q42" s="499"/>
      <c r="R42" s="294">
        <f t="shared" si="0"/>
        <v>50143746.420000002</v>
      </c>
      <c r="S42" s="393"/>
      <c r="T42" s="500"/>
      <c r="U42" s="12"/>
    </row>
    <row r="43" spans="1:21" s="13" customFormat="1" ht="22.5" customHeight="1">
      <c r="A43" s="459">
        <v>8</v>
      </c>
      <c r="B43" s="460" t="s">
        <v>334</v>
      </c>
      <c r="C43" s="378" t="s">
        <v>31</v>
      </c>
      <c r="D43" s="355" t="s">
        <v>335</v>
      </c>
      <c r="E43" s="284">
        <v>220</v>
      </c>
      <c r="F43" s="284">
        <v>220</v>
      </c>
      <c r="G43" s="284">
        <v>220</v>
      </c>
      <c r="H43" s="284">
        <v>20</v>
      </c>
      <c r="I43" s="284">
        <v>20</v>
      </c>
      <c r="J43" s="284">
        <v>20</v>
      </c>
      <c r="K43" s="284">
        <v>5</v>
      </c>
      <c r="L43" s="284">
        <v>5</v>
      </c>
      <c r="M43" s="284">
        <v>5</v>
      </c>
      <c r="N43" s="284">
        <v>5</v>
      </c>
      <c r="O43" s="284">
        <v>5</v>
      </c>
      <c r="P43" s="284">
        <v>5</v>
      </c>
      <c r="Q43" s="417">
        <v>991150</v>
      </c>
      <c r="R43" s="284">
        <f t="shared" si="0"/>
        <v>750</v>
      </c>
      <c r="S43" s="391" t="s">
        <v>336</v>
      </c>
      <c r="T43" s="391" t="s">
        <v>316</v>
      </c>
      <c r="U43" s="12"/>
    </row>
    <row r="44" spans="1:21" s="13" customFormat="1" ht="22.5" customHeight="1">
      <c r="A44" s="459"/>
      <c r="B44" s="460"/>
      <c r="C44" s="378"/>
      <c r="D44" s="355" t="s">
        <v>79</v>
      </c>
      <c r="E44" s="290">
        <v>113311.78</v>
      </c>
      <c r="F44" s="290">
        <v>96627.7</v>
      </c>
      <c r="G44" s="290">
        <v>114582.29</v>
      </c>
      <c r="H44" s="290">
        <v>102378.6</v>
      </c>
      <c r="I44" s="290">
        <v>135622.42000000001</v>
      </c>
      <c r="J44" s="290">
        <v>233740.98</v>
      </c>
      <c r="K44" s="290">
        <v>113242.36</v>
      </c>
      <c r="L44" s="290">
        <v>115501.78</v>
      </c>
      <c r="M44" s="290">
        <v>122499.75</v>
      </c>
      <c r="N44" s="290">
        <v>154035.26</v>
      </c>
      <c r="O44" s="290">
        <v>165798.22</v>
      </c>
      <c r="P44" s="290">
        <v>1446126.29</v>
      </c>
      <c r="Q44" s="417"/>
      <c r="R44" s="290">
        <f t="shared" si="0"/>
        <v>2913467.43</v>
      </c>
      <c r="S44" s="391"/>
      <c r="T44" s="391"/>
      <c r="U44" s="12"/>
    </row>
    <row r="45" spans="1:21" s="13" customFormat="1" ht="22.5" customHeight="1">
      <c r="A45" s="459"/>
      <c r="B45" s="460"/>
      <c r="C45" s="381" t="s">
        <v>45</v>
      </c>
      <c r="D45" s="356" t="str">
        <f>D43</f>
        <v xml:space="preserve">Modernizaciones </v>
      </c>
      <c r="E45" s="287">
        <v>12</v>
      </c>
      <c r="F45" s="287">
        <v>13</v>
      </c>
      <c r="G45" s="287">
        <v>7</v>
      </c>
      <c r="H45" s="287">
        <v>4</v>
      </c>
      <c r="I45" s="287">
        <v>4</v>
      </c>
      <c r="J45" s="287">
        <v>7</v>
      </c>
      <c r="K45" s="287">
        <v>4</v>
      </c>
      <c r="L45" s="287">
        <v>3</v>
      </c>
      <c r="M45" s="287">
        <v>9</v>
      </c>
      <c r="N45" s="287">
        <v>3</v>
      </c>
      <c r="O45" s="287">
        <v>5</v>
      </c>
      <c r="P45" s="287">
        <v>3</v>
      </c>
      <c r="Q45" s="499">
        <f>Q43*S45</f>
        <v>97793.46666666666</v>
      </c>
      <c r="R45" s="287">
        <f t="shared" si="0"/>
        <v>74</v>
      </c>
      <c r="S45" s="393">
        <f>R45/R43</f>
        <v>9.8666666666666666E-2</v>
      </c>
      <c r="T45" s="500">
        <f>R46/R44</f>
        <v>0.61015318781167915</v>
      </c>
      <c r="U45" s="12"/>
    </row>
    <row r="46" spans="1:21" s="13" customFormat="1" ht="22.5" customHeight="1">
      <c r="A46" s="459"/>
      <c r="B46" s="460"/>
      <c r="C46" s="381"/>
      <c r="D46" s="356" t="str">
        <f>D44</f>
        <v>Monto</v>
      </c>
      <c r="E46" s="294">
        <v>113311.78</v>
      </c>
      <c r="F46" s="294">
        <v>96627.7</v>
      </c>
      <c r="G46" s="363">
        <v>114582.29</v>
      </c>
      <c r="H46" s="294">
        <v>102378.6</v>
      </c>
      <c r="I46" s="294">
        <v>135622.42000000001</v>
      </c>
      <c r="J46" s="294">
        <v>233740.98</v>
      </c>
      <c r="K46" s="294">
        <v>113242.36</v>
      </c>
      <c r="L46" s="294">
        <v>115501.78</v>
      </c>
      <c r="M46" s="294">
        <v>122499.75</v>
      </c>
      <c r="N46" s="294">
        <v>154035.26</v>
      </c>
      <c r="O46" s="294">
        <v>165798.22</v>
      </c>
      <c r="P46" s="294">
        <v>310320.3</v>
      </c>
      <c r="Q46" s="499"/>
      <c r="R46" s="294">
        <f t="shared" si="0"/>
        <v>1777661.4400000002</v>
      </c>
      <c r="S46" s="393"/>
      <c r="T46" s="500"/>
      <c r="U46" s="12"/>
    </row>
    <row r="47" spans="1:21" s="13" customFormat="1" ht="22.5" customHeight="1">
      <c r="A47" s="459">
        <v>9</v>
      </c>
      <c r="B47" s="460" t="s">
        <v>337</v>
      </c>
      <c r="C47" s="378" t="s">
        <v>31</v>
      </c>
      <c r="D47" s="355" t="s">
        <v>338</v>
      </c>
      <c r="E47" s="284">
        <v>90</v>
      </c>
      <c r="F47" s="284">
        <v>90</v>
      </c>
      <c r="G47" s="284">
        <v>90</v>
      </c>
      <c r="H47" s="284">
        <v>30</v>
      </c>
      <c r="I47" s="284">
        <v>30</v>
      </c>
      <c r="J47" s="284">
        <v>30</v>
      </c>
      <c r="K47" s="284">
        <v>90</v>
      </c>
      <c r="L47" s="284">
        <v>90</v>
      </c>
      <c r="M47" s="284">
        <v>90</v>
      </c>
      <c r="N47" s="284">
        <v>90</v>
      </c>
      <c r="O47" s="284">
        <v>90</v>
      </c>
      <c r="P47" s="284">
        <v>90</v>
      </c>
      <c r="Q47" s="417">
        <v>7836</v>
      </c>
      <c r="R47" s="284">
        <f t="shared" si="0"/>
        <v>900</v>
      </c>
      <c r="S47" s="391" t="s">
        <v>339</v>
      </c>
      <c r="T47" s="391" t="s">
        <v>316</v>
      </c>
      <c r="U47" s="12"/>
    </row>
    <row r="48" spans="1:21" s="13" customFormat="1" ht="22.5" customHeight="1">
      <c r="A48" s="459"/>
      <c r="B48" s="460"/>
      <c r="C48" s="378"/>
      <c r="D48" s="355" t="s">
        <v>79</v>
      </c>
      <c r="E48" s="290">
        <v>124258.39</v>
      </c>
      <c r="F48" s="290">
        <v>101294.61</v>
      </c>
      <c r="G48" s="290">
        <v>273284.13</v>
      </c>
      <c r="H48" s="290">
        <v>95679.11</v>
      </c>
      <c r="I48" s="290">
        <v>98493.65</v>
      </c>
      <c r="J48" s="290">
        <v>120728.22</v>
      </c>
      <c r="K48" s="290">
        <v>100152.33</v>
      </c>
      <c r="L48" s="290">
        <v>100601.33</v>
      </c>
      <c r="M48" s="290">
        <v>98295.13</v>
      </c>
      <c r="N48" s="290">
        <v>95263.45</v>
      </c>
      <c r="O48" s="290">
        <v>171053.93</v>
      </c>
      <c r="P48" s="290">
        <v>528862.57999999996</v>
      </c>
      <c r="Q48" s="417"/>
      <c r="R48" s="290">
        <f t="shared" si="0"/>
        <v>1907966.8599999999</v>
      </c>
      <c r="S48" s="391"/>
      <c r="T48" s="391"/>
      <c r="U48" s="12"/>
    </row>
    <row r="49" spans="1:21" s="13" customFormat="1" ht="22.5" customHeight="1">
      <c r="A49" s="459"/>
      <c r="B49" s="460"/>
      <c r="C49" s="381" t="s">
        <v>45</v>
      </c>
      <c r="D49" s="356" t="str">
        <f>D47</f>
        <v>Accesos</v>
      </c>
      <c r="E49" s="287">
        <v>140</v>
      </c>
      <c r="F49" s="287">
        <v>119</v>
      </c>
      <c r="G49" s="287">
        <v>96</v>
      </c>
      <c r="H49" s="287">
        <v>26</v>
      </c>
      <c r="I49" s="287">
        <v>45</v>
      </c>
      <c r="J49" s="287">
        <v>53</v>
      </c>
      <c r="K49" s="287">
        <v>88</v>
      </c>
      <c r="L49" s="287">
        <v>83</v>
      </c>
      <c r="M49" s="287">
        <v>110</v>
      </c>
      <c r="N49" s="287">
        <v>114</v>
      </c>
      <c r="O49" s="287">
        <v>123</v>
      </c>
      <c r="P49" s="287">
        <v>125</v>
      </c>
      <c r="Q49" s="499">
        <f>Q47*S49</f>
        <v>9768.8799999999992</v>
      </c>
      <c r="R49" s="287">
        <f t="shared" si="0"/>
        <v>1122</v>
      </c>
      <c r="S49" s="393">
        <f>R49/R47</f>
        <v>1.2466666666666666</v>
      </c>
      <c r="T49" s="500">
        <f>R50/R48</f>
        <v>0.7770314155246909</v>
      </c>
      <c r="U49" s="12"/>
    </row>
    <row r="50" spans="1:21" s="13" customFormat="1" ht="22.5" customHeight="1">
      <c r="A50" s="459"/>
      <c r="B50" s="460"/>
      <c r="C50" s="381"/>
      <c r="D50" s="356" t="str">
        <f>D48</f>
        <v>Monto</v>
      </c>
      <c r="E50" s="288">
        <v>124258.39</v>
      </c>
      <c r="F50" s="292">
        <v>101294.61</v>
      </c>
      <c r="G50" s="292">
        <v>273284.13</v>
      </c>
      <c r="H50" s="292">
        <v>95679.11</v>
      </c>
      <c r="I50" s="292">
        <v>98493.65</v>
      </c>
      <c r="J50" s="292">
        <v>120728.22</v>
      </c>
      <c r="K50" s="364">
        <v>100152.33</v>
      </c>
      <c r="L50" s="292">
        <v>100601.33</v>
      </c>
      <c r="M50" s="292">
        <v>98295.13</v>
      </c>
      <c r="N50" s="292">
        <v>95263.45</v>
      </c>
      <c r="O50" s="292">
        <v>171053.93</v>
      </c>
      <c r="P50" s="292">
        <v>103445.91</v>
      </c>
      <c r="Q50" s="499"/>
      <c r="R50" s="296">
        <f t="shared" si="0"/>
        <v>1482550.1899999997</v>
      </c>
      <c r="S50" s="393"/>
      <c r="T50" s="500"/>
      <c r="U50" s="12"/>
    </row>
    <row r="51" spans="1:21" s="13" customFormat="1" ht="39" customHeight="1">
      <c r="A51" s="459">
        <v>10</v>
      </c>
      <c r="B51" s="460" t="s">
        <v>340</v>
      </c>
      <c r="C51" s="378" t="s">
        <v>31</v>
      </c>
      <c r="D51" s="355" t="s">
        <v>341</v>
      </c>
      <c r="E51" s="284">
        <v>50</v>
      </c>
      <c r="F51" s="284">
        <v>50</v>
      </c>
      <c r="G51" s="284">
        <v>50</v>
      </c>
      <c r="H51" s="284">
        <v>15</v>
      </c>
      <c r="I51" s="284">
        <v>15</v>
      </c>
      <c r="J51" s="284">
        <v>15</v>
      </c>
      <c r="K51" s="284">
        <v>50</v>
      </c>
      <c r="L51" s="284">
        <v>50</v>
      </c>
      <c r="M51" s="284">
        <v>50</v>
      </c>
      <c r="N51" s="284">
        <v>50</v>
      </c>
      <c r="O51" s="284">
        <v>50</v>
      </c>
      <c r="P51" s="284">
        <v>50</v>
      </c>
      <c r="Q51" s="417">
        <v>991150</v>
      </c>
      <c r="R51" s="284">
        <f t="shared" si="0"/>
        <v>495</v>
      </c>
      <c r="S51" s="391" t="s">
        <v>342</v>
      </c>
      <c r="T51" s="391" t="s">
        <v>316</v>
      </c>
      <c r="U51" s="12"/>
    </row>
    <row r="52" spans="1:21" s="13" customFormat="1" ht="39" customHeight="1">
      <c r="A52" s="459"/>
      <c r="B52" s="460"/>
      <c r="C52" s="378"/>
      <c r="D52" s="355" t="s">
        <v>79</v>
      </c>
      <c r="E52" s="290">
        <v>355105.42</v>
      </c>
      <c r="F52" s="290">
        <v>474874.2</v>
      </c>
      <c r="G52" s="290">
        <v>303994.94</v>
      </c>
      <c r="H52" s="290">
        <v>310530.71000000002</v>
      </c>
      <c r="I52" s="290">
        <v>319776.21000000002</v>
      </c>
      <c r="J52" s="290">
        <v>312300.01</v>
      </c>
      <c r="K52" s="290">
        <v>308683.33</v>
      </c>
      <c r="L52" s="290">
        <v>323871.25</v>
      </c>
      <c r="M52" s="290">
        <v>332937.26</v>
      </c>
      <c r="N52" s="290">
        <v>353321.23</v>
      </c>
      <c r="O52" s="290">
        <v>334064.17</v>
      </c>
      <c r="P52" s="290">
        <v>643655.06000000006</v>
      </c>
      <c r="Q52" s="417"/>
      <c r="R52" s="297">
        <f t="shared" si="0"/>
        <v>4373113.79</v>
      </c>
      <c r="S52" s="391"/>
      <c r="T52" s="391"/>
      <c r="U52" s="12"/>
    </row>
    <row r="53" spans="1:21" s="13" customFormat="1" ht="29.25" customHeight="1">
      <c r="A53" s="459"/>
      <c r="B53" s="460"/>
      <c r="C53" s="381" t="s">
        <v>45</v>
      </c>
      <c r="D53" s="356" t="str">
        <f>D51</f>
        <v>Mantenimientos</v>
      </c>
      <c r="E53" s="287">
        <v>79</v>
      </c>
      <c r="F53" s="287">
        <v>93</v>
      </c>
      <c r="G53" s="287">
        <v>57</v>
      </c>
      <c r="H53" s="287">
        <v>42</v>
      </c>
      <c r="I53" s="287">
        <v>52</v>
      </c>
      <c r="J53" s="287">
        <v>60</v>
      </c>
      <c r="K53" s="287">
        <v>23</v>
      </c>
      <c r="L53" s="287">
        <v>62</v>
      </c>
      <c r="M53" s="287">
        <v>56</v>
      </c>
      <c r="N53" s="287">
        <v>52</v>
      </c>
      <c r="O53" s="287">
        <v>35</v>
      </c>
      <c r="P53" s="287">
        <v>32</v>
      </c>
      <c r="Q53" s="499">
        <f>Q51*S53</f>
        <v>1287493.8383838383</v>
      </c>
      <c r="R53" s="287">
        <f t="shared" si="0"/>
        <v>643</v>
      </c>
      <c r="S53" s="393">
        <f>R53/R51</f>
        <v>1.2989898989898989</v>
      </c>
      <c r="T53" s="500">
        <f>R54/R52</f>
        <v>0.97324564243730771</v>
      </c>
      <c r="U53" s="12"/>
    </row>
    <row r="54" spans="1:21" s="13" customFormat="1" ht="29.25" customHeight="1">
      <c r="A54" s="459"/>
      <c r="B54" s="460"/>
      <c r="C54" s="381"/>
      <c r="D54" s="356" t="str">
        <f>D52</f>
        <v>Monto</v>
      </c>
      <c r="E54" s="294">
        <v>355105.42</v>
      </c>
      <c r="F54" s="294">
        <v>474874.2</v>
      </c>
      <c r="G54" s="294">
        <v>303994.94</v>
      </c>
      <c r="H54" s="294">
        <v>310530.71000000002</v>
      </c>
      <c r="I54" s="294">
        <v>319776.21000000002</v>
      </c>
      <c r="J54" s="294">
        <v>312300.01</v>
      </c>
      <c r="K54" s="294">
        <v>308683.33</v>
      </c>
      <c r="L54" s="294">
        <v>323871.25</v>
      </c>
      <c r="M54" s="294">
        <v>332937.26</v>
      </c>
      <c r="N54" s="294">
        <v>353321.23</v>
      </c>
      <c r="O54" s="294">
        <v>334064.17</v>
      </c>
      <c r="P54" s="294">
        <v>526655.21</v>
      </c>
      <c r="Q54" s="499"/>
      <c r="R54" s="296">
        <f t="shared" si="0"/>
        <v>4256113.9399999995</v>
      </c>
      <c r="S54" s="393"/>
      <c r="T54" s="500"/>
      <c r="U54" s="12"/>
    </row>
    <row r="55" spans="1:21" s="13" customFormat="1" ht="22.5" customHeight="1">
      <c r="A55" s="459">
        <v>11</v>
      </c>
      <c r="B55" s="460" t="s">
        <v>343</v>
      </c>
      <c r="C55" s="378" t="s">
        <v>31</v>
      </c>
      <c r="D55" s="355" t="s">
        <v>341</v>
      </c>
      <c r="E55" s="284">
        <v>90</v>
      </c>
      <c r="F55" s="284">
        <v>90</v>
      </c>
      <c r="G55" s="284">
        <v>80</v>
      </c>
      <c r="H55" s="284">
        <v>30</v>
      </c>
      <c r="I55" s="284">
        <v>30</v>
      </c>
      <c r="J55" s="284">
        <v>30</v>
      </c>
      <c r="K55" s="284">
        <v>50</v>
      </c>
      <c r="L55" s="284">
        <v>50</v>
      </c>
      <c r="M55" s="284">
        <v>90</v>
      </c>
      <c r="N55" s="284">
        <v>90</v>
      </c>
      <c r="O55" s="284">
        <v>90</v>
      </c>
      <c r="P55" s="284">
        <v>90</v>
      </c>
      <c r="Q55" s="417">
        <v>991150</v>
      </c>
      <c r="R55" s="284">
        <f t="shared" si="0"/>
        <v>810</v>
      </c>
      <c r="S55" s="391" t="s">
        <v>344</v>
      </c>
      <c r="T55" s="391" t="s">
        <v>316</v>
      </c>
      <c r="U55" s="12"/>
    </row>
    <row r="56" spans="1:21" s="13" customFormat="1" ht="28.5" customHeight="1">
      <c r="A56" s="459"/>
      <c r="B56" s="460"/>
      <c r="C56" s="378"/>
      <c r="D56" s="355" t="s">
        <v>79</v>
      </c>
      <c r="E56" s="290">
        <v>105231.14</v>
      </c>
      <c r="F56" s="290">
        <v>112825.57</v>
      </c>
      <c r="G56" s="290">
        <v>113872.19</v>
      </c>
      <c r="H56" s="290">
        <v>116082.87</v>
      </c>
      <c r="I56" s="290">
        <v>116287.63</v>
      </c>
      <c r="J56" s="290">
        <v>124357.43</v>
      </c>
      <c r="K56" s="290">
        <v>119012.05</v>
      </c>
      <c r="L56" s="290">
        <v>117179.63</v>
      </c>
      <c r="M56" s="290">
        <v>116100.97</v>
      </c>
      <c r="N56" s="290">
        <v>119646.84</v>
      </c>
      <c r="O56" s="290">
        <v>115894.06</v>
      </c>
      <c r="P56" s="290">
        <v>406617.67</v>
      </c>
      <c r="Q56" s="417"/>
      <c r="R56" s="297">
        <f t="shared" si="0"/>
        <v>1683108.05</v>
      </c>
      <c r="S56" s="391"/>
      <c r="T56" s="391"/>
      <c r="U56" s="12"/>
    </row>
    <row r="57" spans="1:21" s="13" customFormat="1" ht="22.5" customHeight="1">
      <c r="A57" s="459"/>
      <c r="B57" s="460"/>
      <c r="C57" s="381" t="s">
        <v>45</v>
      </c>
      <c r="D57" s="356" t="str">
        <f>D55</f>
        <v>Mantenimientos</v>
      </c>
      <c r="E57" s="287">
        <v>138</v>
      </c>
      <c r="F57" s="287">
        <v>138</v>
      </c>
      <c r="G57" s="287">
        <v>95</v>
      </c>
      <c r="H57" s="287">
        <v>29</v>
      </c>
      <c r="I57" s="287">
        <v>19</v>
      </c>
      <c r="J57" s="287">
        <v>29</v>
      </c>
      <c r="K57" s="287">
        <v>54</v>
      </c>
      <c r="L57" s="287">
        <v>55</v>
      </c>
      <c r="M57" s="287">
        <v>121</v>
      </c>
      <c r="N57" s="287">
        <v>100</v>
      </c>
      <c r="O57" s="287">
        <v>79</v>
      </c>
      <c r="P57" s="287">
        <v>153</v>
      </c>
      <c r="Q57" s="499">
        <f>Q55*S57</f>
        <v>1235878.3950617283</v>
      </c>
      <c r="R57" s="287">
        <f t="shared" si="0"/>
        <v>1010</v>
      </c>
      <c r="S57" s="393">
        <f>R57/R55</f>
        <v>1.2469135802469136</v>
      </c>
      <c r="T57" s="500">
        <f>R58/R56</f>
        <v>0.85402315080128111</v>
      </c>
      <c r="U57" s="12"/>
    </row>
    <row r="58" spans="1:21" s="13" customFormat="1" ht="22.5" customHeight="1">
      <c r="A58" s="459"/>
      <c r="B58" s="460"/>
      <c r="C58" s="381"/>
      <c r="D58" s="356" t="str">
        <f>D56</f>
        <v>Monto</v>
      </c>
      <c r="E58" s="294">
        <v>105231.14</v>
      </c>
      <c r="F58" s="294">
        <v>112825.57</v>
      </c>
      <c r="G58" s="294">
        <v>113872.19</v>
      </c>
      <c r="H58" s="294">
        <v>116082.87</v>
      </c>
      <c r="I58" s="294">
        <v>116287.63</v>
      </c>
      <c r="J58" s="294">
        <v>124357.43</v>
      </c>
      <c r="K58" s="294">
        <v>119012.05</v>
      </c>
      <c r="L58" s="294">
        <v>117179.63</v>
      </c>
      <c r="M58" s="294">
        <v>116100.97</v>
      </c>
      <c r="N58" s="294">
        <v>119646.84</v>
      </c>
      <c r="O58" s="294">
        <v>115894.06</v>
      </c>
      <c r="P58" s="294">
        <v>160922.85999999999</v>
      </c>
      <c r="Q58" s="499"/>
      <c r="R58" s="296">
        <f t="shared" si="0"/>
        <v>1437413.2400000002</v>
      </c>
      <c r="S58" s="393"/>
      <c r="T58" s="500"/>
      <c r="U58" s="12"/>
    </row>
    <row r="59" spans="1:21" s="13" customFormat="1" ht="42" customHeight="1">
      <c r="A59" s="496" t="s">
        <v>345</v>
      </c>
      <c r="B59" s="496"/>
      <c r="C59" s="497" t="s">
        <v>31</v>
      </c>
      <c r="D59" s="250" t="s">
        <v>88</v>
      </c>
      <c r="E59" s="251">
        <f>SUM(E15+E19+E23+E27+E31+E35+E39+E43+E47+E51+E55)</f>
        <v>577</v>
      </c>
      <c r="F59" s="251">
        <f>SUM(F15+F19+F23+F27+F31+F35+F39+F43+F47+F51+F55)</f>
        <v>531</v>
      </c>
      <c r="G59" s="251">
        <f t="shared" ref="G59:O59" si="1">SUM(G15+G19+G23+G27+G31+G35+G39+G43+G47+G51+G55)</f>
        <v>559</v>
      </c>
      <c r="H59" s="251">
        <f t="shared" si="1"/>
        <v>172</v>
      </c>
      <c r="I59" s="251">
        <f t="shared" si="1"/>
        <v>175</v>
      </c>
      <c r="J59" s="251">
        <f t="shared" si="1"/>
        <v>174</v>
      </c>
      <c r="K59" s="251">
        <f t="shared" si="1"/>
        <v>261</v>
      </c>
      <c r="L59" s="251">
        <f>SUM(L15+L19+L23+L27+L31+L35+L39+L43+L47+L51+L55)</f>
        <v>258</v>
      </c>
      <c r="M59" s="251">
        <f t="shared" si="1"/>
        <v>295</v>
      </c>
      <c r="N59" s="251">
        <f t="shared" si="1"/>
        <v>299</v>
      </c>
      <c r="O59" s="251">
        <f t="shared" si="1"/>
        <v>296</v>
      </c>
      <c r="P59" s="251">
        <f>SUM(P15+P19+P23+P27+P31+P35+P39+P43+P47+P51+P55)</f>
        <v>297</v>
      </c>
      <c r="Q59" s="386"/>
      <c r="R59" s="251">
        <f>SUM(E59:P59)</f>
        <v>3894</v>
      </c>
      <c r="S59" s="387" t="s">
        <v>89</v>
      </c>
      <c r="T59" s="387" t="s">
        <v>90</v>
      </c>
      <c r="U59" s="12"/>
    </row>
    <row r="60" spans="1:21" s="13" customFormat="1" ht="42" customHeight="1">
      <c r="A60" s="496"/>
      <c r="B60" s="496"/>
      <c r="C60" s="497"/>
      <c r="D60" s="250" t="s">
        <v>79</v>
      </c>
      <c r="E60" s="252">
        <f>SUM(E16+E20+E24+E28+E32+E36+E40+E44+E48+E52+E56)</f>
        <v>4675439.9299999988</v>
      </c>
      <c r="F60" s="252">
        <f t="shared" ref="F60:P60" si="2">SUM(F16+F20+F24+F28+F32+F36+F40+F44+F48+F52+F56)</f>
        <v>4221371.2700000005</v>
      </c>
      <c r="G60" s="252">
        <f t="shared" si="2"/>
        <v>3906622.2099999995</v>
      </c>
      <c r="H60" s="252">
        <f t="shared" si="2"/>
        <v>3902638.0699999994</v>
      </c>
      <c r="I60" s="252">
        <f t="shared" si="2"/>
        <v>4024326.5399999996</v>
      </c>
      <c r="J60" s="252">
        <f t="shared" si="2"/>
        <v>4029862.1</v>
      </c>
      <c r="K60" s="252">
        <f t="shared" si="2"/>
        <v>3933576.5099999993</v>
      </c>
      <c r="L60" s="252">
        <f t="shared" si="2"/>
        <v>7691890.330000001</v>
      </c>
      <c r="M60" s="252">
        <f t="shared" si="2"/>
        <v>4058972.9899999998</v>
      </c>
      <c r="N60" s="252">
        <f t="shared" si="2"/>
        <v>7739338.6099999994</v>
      </c>
      <c r="O60" s="252">
        <f t="shared" si="2"/>
        <v>7539873.0499999989</v>
      </c>
      <c r="P60" s="252">
        <f t="shared" si="2"/>
        <v>48946639.020000003</v>
      </c>
      <c r="Q60" s="386"/>
      <c r="R60" s="251">
        <f>SUM(E60:P60)</f>
        <v>104670550.63</v>
      </c>
      <c r="S60" s="387"/>
      <c r="T60" s="387"/>
      <c r="U60" s="12"/>
    </row>
    <row r="61" spans="1:21" s="13" customFormat="1" ht="22.5" customHeight="1">
      <c r="A61" s="496"/>
      <c r="B61" s="496"/>
      <c r="C61" s="497" t="s">
        <v>45</v>
      </c>
      <c r="D61" s="250" t="str">
        <f>D59</f>
        <v>Actividades</v>
      </c>
      <c r="E61" s="251">
        <f>SUM(E17+E21+E25+E29+E33+E37+E41+E45+E49+E53+E57)</f>
        <v>569</v>
      </c>
      <c r="F61" s="251">
        <f t="shared" ref="F61:P61" si="3">SUM(F17+F21+F25+F29+F33+F37+F41+F45+F49+F53+F57)</f>
        <v>541</v>
      </c>
      <c r="G61" s="251">
        <f t="shared" si="3"/>
        <v>458</v>
      </c>
      <c r="H61" s="251">
        <f t="shared" si="3"/>
        <v>269</v>
      </c>
      <c r="I61" s="251">
        <f t="shared" si="3"/>
        <v>262</v>
      </c>
      <c r="J61" s="251">
        <f t="shared" si="3"/>
        <v>315</v>
      </c>
      <c r="K61" s="251">
        <f t="shared" si="3"/>
        <v>237</v>
      </c>
      <c r="L61" s="251">
        <f>SUM(L17+L21+L25+L29+L33+L37+L41+L45+L49+L53+L57)</f>
        <v>269</v>
      </c>
      <c r="M61" s="251">
        <f t="shared" si="3"/>
        <v>362</v>
      </c>
      <c r="N61" s="251">
        <f t="shared" si="3"/>
        <v>330</v>
      </c>
      <c r="O61" s="251">
        <f t="shared" si="3"/>
        <v>306</v>
      </c>
      <c r="P61" s="251">
        <f t="shared" si="3"/>
        <v>374</v>
      </c>
      <c r="Q61" s="498"/>
      <c r="R61" s="253">
        <f>SUM(E61:P61)</f>
        <v>4292</v>
      </c>
      <c r="S61" s="454">
        <f>R61/R59</f>
        <v>1.1022085259373395</v>
      </c>
      <c r="T61" s="454">
        <f>R62/R60</f>
        <v>0.91347992596301086</v>
      </c>
      <c r="U61" s="12"/>
    </row>
    <row r="62" spans="1:21" s="13" customFormat="1" ht="22.5" customHeight="1">
      <c r="A62" s="496"/>
      <c r="B62" s="496"/>
      <c r="C62" s="497"/>
      <c r="D62" s="250" t="str">
        <f>D60</f>
        <v>Monto</v>
      </c>
      <c r="E62" s="252">
        <f>SUM(E18+E22+E26+E30+E34+E38+E42+E46+E50+E54+E58)</f>
        <v>4675439.9299999988</v>
      </c>
      <c r="F62" s="252">
        <f t="shared" ref="F62:P62" si="4">SUM(F18+F22+F26+F30+F34+F38+F42+F46+F50+F54+F58)</f>
        <v>4221371.2700000005</v>
      </c>
      <c r="G62" s="252">
        <f t="shared" si="4"/>
        <v>3906622.2099999995</v>
      </c>
      <c r="H62" s="252">
        <f t="shared" si="4"/>
        <v>3902638.0699999994</v>
      </c>
      <c r="I62" s="252">
        <f t="shared" si="4"/>
        <v>4024326.5399999996</v>
      </c>
      <c r="J62" s="252">
        <f t="shared" si="4"/>
        <v>4029862.1</v>
      </c>
      <c r="K62" s="252">
        <f t="shared" si="4"/>
        <v>3933576.5099999993</v>
      </c>
      <c r="L62" s="252">
        <f t="shared" si="4"/>
        <v>7691890.330000001</v>
      </c>
      <c r="M62" s="252">
        <f t="shared" si="4"/>
        <v>4058972.9899999998</v>
      </c>
      <c r="N62" s="252">
        <f t="shared" si="4"/>
        <v>7739338.6099999994</v>
      </c>
      <c r="O62" s="252">
        <f t="shared" si="4"/>
        <v>7539873.0499999989</v>
      </c>
      <c r="P62" s="252">
        <f t="shared" si="4"/>
        <v>39890535.229999989</v>
      </c>
      <c r="Q62" s="498"/>
      <c r="R62" s="252">
        <f>SUM(E62:P62)</f>
        <v>95614446.839999974</v>
      </c>
      <c r="S62" s="454"/>
      <c r="T62" s="454"/>
      <c r="U62" s="12"/>
    </row>
    <row r="63" spans="1:21" s="13" customFormat="1" ht="40.9" customHeight="1">
      <c r="A63" s="401" t="s">
        <v>347</v>
      </c>
      <c r="B63" s="402"/>
      <c r="C63" s="402"/>
      <c r="D63" s="402"/>
      <c r="E63" s="402"/>
      <c r="F63" s="402"/>
      <c r="G63" s="402"/>
      <c r="H63" s="402"/>
      <c r="I63" s="402"/>
      <c r="J63" s="402"/>
      <c r="K63" s="402"/>
      <c r="L63" s="402"/>
      <c r="M63" s="402"/>
      <c r="N63" s="402"/>
      <c r="O63" s="402"/>
      <c r="P63" s="402"/>
      <c r="Q63" s="402"/>
      <c r="R63" s="402"/>
      <c r="S63" s="402"/>
      <c r="T63" s="403"/>
      <c r="U63" s="12"/>
    </row>
    <row r="64" spans="1:21" ht="19.5" customHeight="1">
      <c r="A64" s="404" t="s">
        <v>66</v>
      </c>
      <c r="B64" s="404"/>
      <c r="C64" s="404"/>
      <c r="D64" s="404"/>
      <c r="E64" s="404"/>
      <c r="F64" s="404"/>
      <c r="G64" s="404"/>
      <c r="H64" s="404"/>
      <c r="I64" s="404"/>
      <c r="J64" s="404"/>
      <c r="K64" s="404" t="s">
        <v>67</v>
      </c>
      <c r="L64" s="404"/>
      <c r="M64" s="404"/>
      <c r="N64" s="404"/>
      <c r="O64" s="404"/>
      <c r="P64" s="404"/>
      <c r="Q64" s="404"/>
      <c r="R64" s="404"/>
      <c r="S64" s="404"/>
      <c r="T64" s="404"/>
      <c r="U64" s="14"/>
    </row>
    <row r="65" spans="1:26" ht="32.450000000000003" customHeight="1">
      <c r="A65" s="495" t="s">
        <v>68</v>
      </c>
      <c r="B65" s="495"/>
      <c r="C65" s="495"/>
      <c r="D65" s="495"/>
      <c r="E65" s="495"/>
      <c r="F65" s="495"/>
      <c r="G65" s="495"/>
      <c r="H65" s="495"/>
      <c r="I65" s="495"/>
      <c r="J65" s="495"/>
      <c r="K65" s="406" t="s">
        <v>26</v>
      </c>
      <c r="L65" s="406"/>
      <c r="M65" s="406"/>
      <c r="N65" s="406"/>
      <c r="O65" s="406"/>
      <c r="P65" s="406"/>
      <c r="Q65" s="406"/>
      <c r="R65" s="406"/>
      <c r="S65" s="406"/>
      <c r="T65" s="406"/>
      <c r="U65" s="15"/>
    </row>
    <row r="66" spans="1:26" ht="21" customHeight="1">
      <c r="A66" s="404" t="s">
        <v>69</v>
      </c>
      <c r="B66" s="404"/>
      <c r="C66" s="404"/>
      <c r="D66" s="404" t="s">
        <v>70</v>
      </c>
      <c r="E66" s="404"/>
      <c r="F66" s="404"/>
      <c r="G66" s="404"/>
      <c r="H66" s="404"/>
      <c r="I66" s="404"/>
      <c r="J66" s="404"/>
      <c r="K66" s="404"/>
      <c r="L66" s="404"/>
      <c r="M66" s="404"/>
      <c r="N66" s="404"/>
      <c r="O66" s="404"/>
      <c r="P66" s="404"/>
      <c r="Q66" s="404"/>
      <c r="R66" s="404"/>
      <c r="S66" s="404"/>
      <c r="T66" s="404"/>
      <c r="U66" s="14"/>
    </row>
    <row r="67" spans="1:26" ht="237.75" customHeight="1">
      <c r="A67" s="472" t="s">
        <v>27</v>
      </c>
      <c r="B67" s="472"/>
      <c r="C67" s="472"/>
      <c r="D67" s="473" t="s">
        <v>442</v>
      </c>
      <c r="E67" s="473"/>
      <c r="F67" s="473"/>
      <c r="G67" s="473"/>
      <c r="H67" s="473"/>
      <c r="I67" s="473"/>
      <c r="J67" s="473"/>
      <c r="K67" s="473"/>
      <c r="L67" s="473"/>
      <c r="M67" s="473"/>
      <c r="N67" s="473"/>
      <c r="O67" s="473"/>
      <c r="P67" s="473"/>
      <c r="Q67" s="473"/>
      <c r="R67" s="473"/>
      <c r="S67" s="473"/>
      <c r="T67" s="473"/>
      <c r="U67" s="16"/>
    </row>
    <row r="68" spans="1:26" s="21" customFormat="1" ht="21" customHeight="1">
      <c r="A68" s="494" t="s">
        <v>17</v>
      </c>
      <c r="B68" s="494"/>
      <c r="C68" s="494"/>
      <c r="D68" s="494"/>
      <c r="E68" s="494"/>
      <c r="F68" s="494"/>
      <c r="G68" s="494"/>
      <c r="H68" s="494"/>
      <c r="I68" s="494"/>
      <c r="J68" s="494"/>
      <c r="K68" s="494"/>
      <c r="L68" s="494"/>
      <c r="M68" s="494"/>
      <c r="N68" s="494"/>
      <c r="O68" s="494"/>
      <c r="P68" s="494"/>
      <c r="Q68" s="494"/>
      <c r="R68" s="494"/>
      <c r="S68" s="494"/>
      <c r="T68" s="494"/>
      <c r="U68" s="20"/>
    </row>
    <row r="69" spans="1:26" s="21" customFormat="1" ht="21" customHeight="1">
      <c r="A69" s="426" t="s">
        <v>18</v>
      </c>
      <c r="B69" s="426"/>
      <c r="C69" s="426"/>
      <c r="D69" s="426"/>
      <c r="E69" s="426" t="s">
        <v>20</v>
      </c>
      <c r="F69" s="426"/>
      <c r="G69" s="426"/>
      <c r="H69" s="426"/>
      <c r="I69" s="426" t="s">
        <v>22</v>
      </c>
      <c r="J69" s="426"/>
      <c r="K69" s="426"/>
      <c r="L69" s="426"/>
      <c r="M69" s="426"/>
      <c r="N69" s="426"/>
      <c r="O69" s="426"/>
      <c r="P69" s="426"/>
      <c r="Q69" s="426" t="s">
        <v>24</v>
      </c>
      <c r="R69" s="426"/>
      <c r="S69" s="426"/>
      <c r="T69" s="426"/>
      <c r="U69" s="22"/>
    </row>
    <row r="70" spans="1:26" s="21" customFormat="1" ht="21" customHeight="1">
      <c r="A70" s="421" t="s">
        <v>19</v>
      </c>
      <c r="B70" s="421"/>
      <c r="C70" s="421"/>
      <c r="D70" s="421"/>
      <c r="E70" s="422" t="s">
        <v>21</v>
      </c>
      <c r="F70" s="422"/>
      <c r="G70" s="422"/>
      <c r="H70" s="422"/>
      <c r="I70" s="421" t="s">
        <v>23</v>
      </c>
      <c r="J70" s="421"/>
      <c r="K70" s="421"/>
      <c r="L70" s="421"/>
      <c r="M70" s="421"/>
      <c r="N70" s="421"/>
      <c r="O70" s="421"/>
      <c r="P70" s="421"/>
      <c r="Q70" s="421" t="s">
        <v>25</v>
      </c>
      <c r="R70" s="421"/>
      <c r="S70" s="421"/>
      <c r="T70" s="421"/>
      <c r="U70" s="23"/>
    </row>
    <row r="71" spans="1:26" s="28" customFormat="1" ht="15.75" customHeight="1">
      <c r="A71" s="490" t="s">
        <v>72</v>
      </c>
      <c r="B71" s="491" t="s">
        <v>73</v>
      </c>
      <c r="C71" s="490" t="s">
        <v>46</v>
      </c>
      <c r="D71" s="490" t="s">
        <v>28</v>
      </c>
      <c r="E71" s="492" t="s">
        <v>33</v>
      </c>
      <c r="F71" s="492" t="s">
        <v>34</v>
      </c>
      <c r="G71" s="492" t="s">
        <v>35</v>
      </c>
      <c r="H71" s="492" t="s">
        <v>36</v>
      </c>
      <c r="I71" s="492" t="s">
        <v>37</v>
      </c>
      <c r="J71" s="492" t="s">
        <v>38</v>
      </c>
      <c r="K71" s="492" t="s">
        <v>39</v>
      </c>
      <c r="L71" s="492" t="s">
        <v>40</v>
      </c>
      <c r="M71" s="492" t="s">
        <v>41</v>
      </c>
      <c r="N71" s="492" t="s">
        <v>47</v>
      </c>
      <c r="O71" s="492" t="s">
        <v>42</v>
      </c>
      <c r="P71" s="492" t="s">
        <v>43</v>
      </c>
      <c r="Q71" s="493" t="s">
        <v>74</v>
      </c>
      <c r="R71" s="493" t="s">
        <v>75</v>
      </c>
      <c r="S71" s="493" t="s">
        <v>76</v>
      </c>
      <c r="T71" s="493"/>
      <c r="U71" s="27"/>
    </row>
    <row r="72" spans="1:26" s="28" customFormat="1" ht="22.5" customHeight="1">
      <c r="A72" s="490"/>
      <c r="B72" s="491"/>
      <c r="C72" s="490"/>
      <c r="D72" s="490"/>
      <c r="E72" s="492"/>
      <c r="F72" s="492"/>
      <c r="G72" s="492"/>
      <c r="H72" s="492"/>
      <c r="I72" s="492"/>
      <c r="J72" s="492"/>
      <c r="K72" s="492"/>
      <c r="L72" s="492"/>
      <c r="M72" s="492"/>
      <c r="N72" s="492"/>
      <c r="O72" s="492"/>
      <c r="P72" s="492"/>
      <c r="Q72" s="493"/>
      <c r="R72" s="493"/>
      <c r="S72" s="283" t="s">
        <v>30</v>
      </c>
      <c r="T72" s="283" t="s">
        <v>77</v>
      </c>
      <c r="U72" s="27"/>
    </row>
    <row r="73" spans="1:26" ht="40.5" customHeight="1">
      <c r="A73" s="481">
        <v>1</v>
      </c>
      <c r="B73" s="482" t="s">
        <v>1</v>
      </c>
      <c r="C73" s="483" t="s">
        <v>246</v>
      </c>
      <c r="D73" s="254" t="s">
        <v>3</v>
      </c>
      <c r="E73" s="298">
        <v>1</v>
      </c>
      <c r="F73" s="298">
        <v>1</v>
      </c>
      <c r="G73" s="298">
        <v>1</v>
      </c>
      <c r="H73" s="298">
        <v>1</v>
      </c>
      <c r="I73" s="298">
        <v>1</v>
      </c>
      <c r="J73" s="298">
        <v>1</v>
      </c>
      <c r="K73" s="298">
        <v>1</v>
      </c>
      <c r="L73" s="298">
        <v>1</v>
      </c>
      <c r="M73" s="298">
        <v>1</v>
      </c>
      <c r="N73" s="298">
        <v>1</v>
      </c>
      <c r="O73" s="298">
        <v>1</v>
      </c>
      <c r="P73" s="298">
        <v>1</v>
      </c>
      <c r="Q73" s="484">
        <v>991150</v>
      </c>
      <c r="R73" s="307">
        <f>SUM(E73:P73)</f>
        <v>12</v>
      </c>
      <c r="S73" s="485" t="s">
        <v>95</v>
      </c>
      <c r="T73" s="485" t="s">
        <v>78</v>
      </c>
      <c r="U73" s="32"/>
      <c r="V73" s="28"/>
      <c r="Z73" s="241"/>
    </row>
    <row r="74" spans="1:26" ht="36.75" customHeight="1">
      <c r="A74" s="481"/>
      <c r="B74" s="482"/>
      <c r="C74" s="483"/>
      <c r="D74" s="254" t="s">
        <v>79</v>
      </c>
      <c r="E74" s="299">
        <v>37561336.050000004</v>
      </c>
      <c r="F74" s="299">
        <v>27574802.289999999</v>
      </c>
      <c r="G74" s="299">
        <v>13291757.619999997</v>
      </c>
      <c r="H74" s="299">
        <v>3201139.08</v>
      </c>
      <c r="I74" s="299">
        <v>3125447.04</v>
      </c>
      <c r="J74" s="299">
        <v>3280165.8899999992</v>
      </c>
      <c r="K74" s="299">
        <v>3316227.31</v>
      </c>
      <c r="L74" s="299">
        <v>3759462.6600000006</v>
      </c>
      <c r="M74" s="299">
        <v>2951599.6399999997</v>
      </c>
      <c r="N74" s="299">
        <v>3921804.41</v>
      </c>
      <c r="O74" s="299">
        <v>3553239.2199999997</v>
      </c>
      <c r="P74" s="299">
        <v>7516943.7600000035</v>
      </c>
      <c r="Q74" s="484"/>
      <c r="R74" s="300">
        <f t="shared" ref="R74" si="5">SUM(E74:P74)</f>
        <v>113053924.97000001</v>
      </c>
      <c r="S74" s="485"/>
      <c r="T74" s="485"/>
      <c r="U74" s="32">
        <v>64535348.479999982</v>
      </c>
      <c r="W74" s="34">
        <f>R74-U74</f>
        <v>48518576.490000032</v>
      </c>
      <c r="Z74" s="241"/>
    </row>
    <row r="75" spans="1:26" ht="36" customHeight="1">
      <c r="A75" s="481"/>
      <c r="B75" s="482"/>
      <c r="C75" s="486" t="s">
        <v>45</v>
      </c>
      <c r="D75" s="249" t="str">
        <f>D73</f>
        <v>Estados Financieros</v>
      </c>
      <c r="E75" s="301">
        <v>1</v>
      </c>
      <c r="F75" s="301">
        <v>1</v>
      </c>
      <c r="G75" s="301">
        <v>1</v>
      </c>
      <c r="H75" s="302">
        <v>1</v>
      </c>
      <c r="I75" s="302">
        <v>1</v>
      </c>
      <c r="J75" s="302">
        <v>1</v>
      </c>
      <c r="K75" s="301">
        <v>1</v>
      </c>
      <c r="L75" s="301">
        <v>1</v>
      </c>
      <c r="M75" s="301">
        <v>1</v>
      </c>
      <c r="N75" s="301">
        <v>1</v>
      </c>
      <c r="O75" s="301">
        <v>1</v>
      </c>
      <c r="P75" s="301">
        <v>1</v>
      </c>
      <c r="Q75" s="303"/>
      <c r="R75" s="304">
        <f>SUM(E75:P75)</f>
        <v>12</v>
      </c>
      <c r="S75" s="487">
        <f>R75/R73</f>
        <v>1</v>
      </c>
      <c r="T75" s="488">
        <f>R76/R74</f>
        <v>0.96717880930728728</v>
      </c>
      <c r="U75" s="32"/>
      <c r="Z75" s="241"/>
    </row>
    <row r="76" spans="1:26" ht="40.5" customHeight="1">
      <c r="A76" s="481"/>
      <c r="B76" s="482"/>
      <c r="C76" s="486"/>
      <c r="D76" s="249" t="str">
        <f>D74</f>
        <v>Monto</v>
      </c>
      <c r="E76" s="305">
        <v>37561336.050000004</v>
      </c>
      <c r="F76" s="305">
        <v>27574802.289999999</v>
      </c>
      <c r="G76" s="305">
        <v>13291757.619999997</v>
      </c>
      <c r="H76" s="305">
        <v>3201139.08</v>
      </c>
      <c r="I76" s="305">
        <v>3125447.04</v>
      </c>
      <c r="J76" s="305">
        <v>3280165.8899999992</v>
      </c>
      <c r="K76" s="305">
        <v>3316227.31</v>
      </c>
      <c r="L76" s="305">
        <v>3759462.6600000006</v>
      </c>
      <c r="M76" s="305">
        <v>2951599.6399999997</v>
      </c>
      <c r="N76" s="305">
        <v>3921804.41</v>
      </c>
      <c r="O76" s="305">
        <v>3553239.2199999997</v>
      </c>
      <c r="P76" s="305">
        <v>3806379.33</v>
      </c>
      <c r="Q76" s="303"/>
      <c r="R76" s="306">
        <f>SUM(E76:P76)</f>
        <v>109343360.54000001</v>
      </c>
      <c r="S76" s="487"/>
      <c r="T76" s="488"/>
      <c r="U76" s="32"/>
      <c r="Z76" s="241"/>
    </row>
    <row r="77" spans="1:26" ht="24" customHeight="1">
      <c r="A77" s="481">
        <v>2</v>
      </c>
      <c r="B77" s="482" t="s">
        <v>245</v>
      </c>
      <c r="C77" s="483" t="s">
        <v>246</v>
      </c>
      <c r="D77" s="254" t="s">
        <v>82</v>
      </c>
      <c r="E77" s="298">
        <v>31</v>
      </c>
      <c r="F77" s="298">
        <v>28</v>
      </c>
      <c r="G77" s="298">
        <v>30</v>
      </c>
      <c r="H77" s="298">
        <v>30</v>
      </c>
      <c r="I77" s="298">
        <v>30</v>
      </c>
      <c r="J77" s="298">
        <v>30</v>
      </c>
      <c r="K77" s="298">
        <v>30</v>
      </c>
      <c r="L77" s="298">
        <v>31</v>
      </c>
      <c r="M77" s="298">
        <v>30</v>
      </c>
      <c r="N77" s="298">
        <v>30</v>
      </c>
      <c r="O77" s="298">
        <v>30</v>
      </c>
      <c r="P77" s="298">
        <v>30</v>
      </c>
      <c r="Q77" s="484">
        <v>7836</v>
      </c>
      <c r="R77" s="307">
        <f t="shared" ref="R77:R90" si="6">SUM(E77:P77)</f>
        <v>360</v>
      </c>
      <c r="S77" s="485" t="s">
        <v>96</v>
      </c>
      <c r="T77" s="485" t="s">
        <v>78</v>
      </c>
      <c r="U77" s="32">
        <v>11906258.23</v>
      </c>
      <c r="W77" s="34">
        <f>R78-U77</f>
        <v>-1885034.5700000003</v>
      </c>
      <c r="Z77" s="241"/>
    </row>
    <row r="78" spans="1:26" ht="24.75" customHeight="1">
      <c r="A78" s="481"/>
      <c r="B78" s="482"/>
      <c r="C78" s="483"/>
      <c r="D78" s="254" t="s">
        <v>79</v>
      </c>
      <c r="E78" s="299">
        <v>872703.66000000027</v>
      </c>
      <c r="F78" s="299">
        <v>817903.10000000009</v>
      </c>
      <c r="G78" s="299">
        <v>727095.28</v>
      </c>
      <c r="H78" s="299">
        <v>709947.08000000007</v>
      </c>
      <c r="I78" s="299">
        <v>753140.1399999999</v>
      </c>
      <c r="J78" s="299">
        <v>690624.37</v>
      </c>
      <c r="K78" s="299">
        <v>685290.93000000028</v>
      </c>
      <c r="L78" s="299">
        <v>701153.06000000017</v>
      </c>
      <c r="M78" s="299">
        <v>722581.38</v>
      </c>
      <c r="N78" s="299">
        <v>606284.05999999994</v>
      </c>
      <c r="O78" s="299">
        <v>765077.87000000023</v>
      </c>
      <c r="P78" s="299">
        <v>1969422.73</v>
      </c>
      <c r="Q78" s="484"/>
      <c r="R78" s="300">
        <f t="shared" si="6"/>
        <v>10021223.66</v>
      </c>
      <c r="S78" s="485"/>
      <c r="T78" s="485"/>
      <c r="U78" s="32"/>
    </row>
    <row r="79" spans="1:26" ht="24" customHeight="1">
      <c r="A79" s="481"/>
      <c r="B79" s="482"/>
      <c r="C79" s="486" t="s">
        <v>45</v>
      </c>
      <c r="D79" s="249" t="str">
        <f>D77</f>
        <v>Reportes</v>
      </c>
      <c r="E79" s="301">
        <v>31</v>
      </c>
      <c r="F79" s="301">
        <v>29</v>
      </c>
      <c r="G79" s="301">
        <v>31</v>
      </c>
      <c r="H79" s="302">
        <v>30</v>
      </c>
      <c r="I79" s="302">
        <v>31</v>
      </c>
      <c r="J79" s="302">
        <v>30</v>
      </c>
      <c r="K79" s="301">
        <v>31</v>
      </c>
      <c r="L79" s="301">
        <v>31</v>
      </c>
      <c r="M79" s="301">
        <v>30</v>
      </c>
      <c r="N79" s="301">
        <v>31</v>
      </c>
      <c r="O79" s="301">
        <v>30</v>
      </c>
      <c r="P79" s="301">
        <v>31</v>
      </c>
      <c r="Q79" s="308"/>
      <c r="R79" s="304">
        <f>SUM(E79:P79)</f>
        <v>366</v>
      </c>
      <c r="S79" s="487">
        <f>R79/R77</f>
        <v>1.0166666666666666</v>
      </c>
      <c r="T79" s="488">
        <f>R80/R78</f>
        <v>0.90316999770465167</v>
      </c>
      <c r="U79" s="32"/>
    </row>
    <row r="80" spans="1:26" ht="22.5" customHeight="1">
      <c r="A80" s="481"/>
      <c r="B80" s="482"/>
      <c r="C80" s="486"/>
      <c r="D80" s="249" t="str">
        <f>D78</f>
        <v>Monto</v>
      </c>
      <c r="E80" s="305">
        <v>872703.66000000027</v>
      </c>
      <c r="F80" s="305">
        <v>817903.10000000009</v>
      </c>
      <c r="G80" s="305">
        <v>727095.28</v>
      </c>
      <c r="H80" s="305">
        <v>709947.08000000007</v>
      </c>
      <c r="I80" s="305">
        <v>753140.1399999999</v>
      </c>
      <c r="J80" s="305">
        <v>690624.37</v>
      </c>
      <c r="K80" s="305">
        <v>685290.93000000028</v>
      </c>
      <c r="L80" s="305">
        <v>701153.06000000017</v>
      </c>
      <c r="M80" s="305">
        <v>722581.38</v>
      </c>
      <c r="N80" s="305">
        <v>606284.05999999994</v>
      </c>
      <c r="O80" s="305">
        <v>765077.87000000023</v>
      </c>
      <c r="P80" s="305">
        <v>999067.62000000011</v>
      </c>
      <c r="Q80" s="308"/>
      <c r="R80" s="306">
        <f t="shared" si="6"/>
        <v>9050868.5500000007</v>
      </c>
      <c r="S80" s="487"/>
      <c r="T80" s="488"/>
      <c r="U80" s="32"/>
    </row>
    <row r="81" spans="1:23" ht="27" customHeight="1">
      <c r="A81" s="481">
        <v>3</v>
      </c>
      <c r="B81" s="482" t="s">
        <v>6</v>
      </c>
      <c r="C81" s="483" t="s">
        <v>246</v>
      </c>
      <c r="D81" s="254" t="s">
        <v>91</v>
      </c>
      <c r="E81" s="298">
        <v>400</v>
      </c>
      <c r="F81" s="298">
        <v>450</v>
      </c>
      <c r="G81" s="298">
        <v>450</v>
      </c>
      <c r="H81" s="298">
        <v>400</v>
      </c>
      <c r="I81" s="298">
        <v>400</v>
      </c>
      <c r="J81" s="298">
        <v>450</v>
      </c>
      <c r="K81" s="298">
        <v>400</v>
      </c>
      <c r="L81" s="298">
        <v>400</v>
      </c>
      <c r="M81" s="298">
        <v>400</v>
      </c>
      <c r="N81" s="298">
        <v>400</v>
      </c>
      <c r="O81" s="298">
        <v>450</v>
      </c>
      <c r="P81" s="298">
        <v>450</v>
      </c>
      <c r="Q81" s="484">
        <v>7836</v>
      </c>
      <c r="R81" s="307">
        <f t="shared" si="6"/>
        <v>5050</v>
      </c>
      <c r="S81" s="485" t="s">
        <v>97</v>
      </c>
      <c r="T81" s="485" t="s">
        <v>78</v>
      </c>
      <c r="U81" s="32">
        <v>5066052.5600000005</v>
      </c>
      <c r="W81" s="34">
        <f>R82-U81</f>
        <v>-2323657.8800000008</v>
      </c>
    </row>
    <row r="82" spans="1:23" ht="27" customHeight="1">
      <c r="A82" s="481"/>
      <c r="B82" s="482"/>
      <c r="C82" s="483"/>
      <c r="D82" s="254" t="s">
        <v>79</v>
      </c>
      <c r="E82" s="299">
        <v>226484.91999999998</v>
      </c>
      <c r="F82" s="299">
        <v>200593.44999999998</v>
      </c>
      <c r="G82" s="299">
        <v>200799.25</v>
      </c>
      <c r="H82" s="299">
        <v>201544.28999999998</v>
      </c>
      <c r="I82" s="299">
        <v>226585.51</v>
      </c>
      <c r="J82" s="299">
        <v>201889.51</v>
      </c>
      <c r="K82" s="299">
        <v>200654.71</v>
      </c>
      <c r="L82" s="299">
        <v>200654.71</v>
      </c>
      <c r="M82" s="299">
        <v>202128.90999999995</v>
      </c>
      <c r="N82" s="299">
        <v>216461.99999999994</v>
      </c>
      <c r="O82" s="299">
        <v>204499.31999999992</v>
      </c>
      <c r="P82" s="299">
        <v>460098.1</v>
      </c>
      <c r="Q82" s="484"/>
      <c r="R82" s="300">
        <f t="shared" si="6"/>
        <v>2742394.6799999997</v>
      </c>
      <c r="S82" s="485"/>
      <c r="T82" s="485"/>
      <c r="U82" s="32"/>
    </row>
    <row r="83" spans="1:23" ht="27" customHeight="1">
      <c r="A83" s="481"/>
      <c r="B83" s="482"/>
      <c r="C83" s="486" t="s">
        <v>45</v>
      </c>
      <c r="D83" s="249" t="str">
        <f>D81</f>
        <v>Polizas</v>
      </c>
      <c r="E83" s="301">
        <v>455</v>
      </c>
      <c r="F83" s="301">
        <v>456</v>
      </c>
      <c r="G83" s="301">
        <v>475</v>
      </c>
      <c r="H83" s="302">
        <v>319</v>
      </c>
      <c r="I83" s="302">
        <v>353</v>
      </c>
      <c r="J83" s="302">
        <v>459</v>
      </c>
      <c r="K83" s="301">
        <v>436</v>
      </c>
      <c r="L83" s="301">
        <v>386</v>
      </c>
      <c r="M83" s="301">
        <v>356</v>
      </c>
      <c r="N83" s="309">
        <v>393</v>
      </c>
      <c r="O83" s="301">
        <v>420</v>
      </c>
      <c r="P83" s="301">
        <v>410</v>
      </c>
      <c r="Q83" s="308"/>
      <c r="R83" s="304">
        <f t="shared" si="6"/>
        <v>4918</v>
      </c>
      <c r="S83" s="487">
        <f>R83/R81</f>
        <v>0.97386138613861384</v>
      </c>
      <c r="T83" s="488">
        <f>R84/R82</f>
        <v>0.93631991366027589</v>
      </c>
      <c r="U83" s="32"/>
    </row>
    <row r="84" spans="1:23" ht="27" customHeight="1">
      <c r="A84" s="481"/>
      <c r="B84" s="482"/>
      <c r="C84" s="486"/>
      <c r="D84" s="249" t="str">
        <f>D82</f>
        <v>Monto</v>
      </c>
      <c r="E84" s="305">
        <v>226484.91999999998</v>
      </c>
      <c r="F84" s="305">
        <v>200593.44999999998</v>
      </c>
      <c r="G84" s="305">
        <v>200799.25</v>
      </c>
      <c r="H84" s="305">
        <v>201544.28999999998</v>
      </c>
      <c r="I84" s="305">
        <v>226585.51</v>
      </c>
      <c r="J84" s="305">
        <v>201889.51</v>
      </c>
      <c r="K84" s="305">
        <v>200654.71</v>
      </c>
      <c r="L84" s="305">
        <v>200654.71</v>
      </c>
      <c r="M84" s="305">
        <v>202128.90999999995</v>
      </c>
      <c r="N84" s="305">
        <v>216461.99999999994</v>
      </c>
      <c r="O84" s="305">
        <v>204499.31999999992</v>
      </c>
      <c r="P84" s="305">
        <v>285462.16999999993</v>
      </c>
      <c r="Q84" s="308"/>
      <c r="R84" s="306">
        <f t="shared" si="6"/>
        <v>2567758.7499999995</v>
      </c>
      <c r="S84" s="487"/>
      <c r="T84" s="488"/>
      <c r="U84" s="32"/>
    </row>
    <row r="85" spans="1:23" ht="27" customHeight="1">
      <c r="A85" s="481">
        <v>4</v>
      </c>
      <c r="B85" s="482" t="s">
        <v>60</v>
      </c>
      <c r="C85" s="483" t="s">
        <v>246</v>
      </c>
      <c r="D85" s="254" t="s">
        <v>92</v>
      </c>
      <c r="E85" s="298">
        <v>55</v>
      </c>
      <c r="F85" s="298">
        <v>55</v>
      </c>
      <c r="G85" s="298">
        <v>55</v>
      </c>
      <c r="H85" s="298">
        <v>55</v>
      </c>
      <c r="I85" s="298">
        <v>55</v>
      </c>
      <c r="J85" s="298">
        <v>55</v>
      </c>
      <c r="K85" s="298">
        <v>55</v>
      </c>
      <c r="L85" s="298">
        <v>55</v>
      </c>
      <c r="M85" s="298">
        <v>55</v>
      </c>
      <c r="N85" s="298">
        <v>55</v>
      </c>
      <c r="O85" s="298">
        <v>55</v>
      </c>
      <c r="P85" s="298">
        <v>55</v>
      </c>
      <c r="Q85" s="484">
        <v>7836</v>
      </c>
      <c r="R85" s="307">
        <f t="shared" si="6"/>
        <v>660</v>
      </c>
      <c r="S85" s="485" t="s">
        <v>98</v>
      </c>
      <c r="T85" s="485" t="s">
        <v>78</v>
      </c>
      <c r="U85" s="32">
        <v>927612.63</v>
      </c>
      <c r="W85" s="34">
        <f>R86-U85</f>
        <v>-843837.15</v>
      </c>
    </row>
    <row r="86" spans="1:23" ht="23.25" customHeight="1">
      <c r="A86" s="481"/>
      <c r="B86" s="482"/>
      <c r="C86" s="483"/>
      <c r="D86" s="254" t="s">
        <v>79</v>
      </c>
      <c r="E86" s="299">
        <v>1911.81</v>
      </c>
      <c r="F86" s="299">
        <v>4109.2199999999993</v>
      </c>
      <c r="G86" s="299">
        <v>4454.0999999999995</v>
      </c>
      <c r="H86" s="299">
        <v>2931</v>
      </c>
      <c r="I86" s="299">
        <v>1658.22</v>
      </c>
      <c r="J86" s="299">
        <v>3193</v>
      </c>
      <c r="K86" s="299">
        <v>15387.89</v>
      </c>
      <c r="L86" s="299">
        <v>1954.85</v>
      </c>
      <c r="M86" s="299">
        <v>3678.4700000000003</v>
      </c>
      <c r="N86" s="299">
        <v>1384.96</v>
      </c>
      <c r="O86" s="299">
        <v>1631.49</v>
      </c>
      <c r="P86" s="299">
        <v>41480.47</v>
      </c>
      <c r="Q86" s="484"/>
      <c r="R86" s="300">
        <f t="shared" si="6"/>
        <v>83775.48</v>
      </c>
      <c r="S86" s="485"/>
      <c r="T86" s="485"/>
      <c r="U86" s="32"/>
    </row>
    <row r="87" spans="1:23" ht="30" customHeight="1">
      <c r="A87" s="481"/>
      <c r="B87" s="482"/>
      <c r="C87" s="486" t="s">
        <v>45</v>
      </c>
      <c r="D87" s="249" t="str">
        <f>D85</f>
        <v>Conciliaciones Bancarias</v>
      </c>
      <c r="E87" s="301">
        <v>56</v>
      </c>
      <c r="F87" s="301">
        <v>56</v>
      </c>
      <c r="G87" s="301">
        <v>56</v>
      </c>
      <c r="H87" s="310">
        <v>56</v>
      </c>
      <c r="I87" s="301">
        <v>56</v>
      </c>
      <c r="J87" s="301">
        <v>56</v>
      </c>
      <c r="K87" s="301">
        <v>56</v>
      </c>
      <c r="L87" s="301">
        <v>56</v>
      </c>
      <c r="M87" s="301">
        <v>56</v>
      </c>
      <c r="N87" s="301">
        <v>56</v>
      </c>
      <c r="O87" s="301">
        <v>56</v>
      </c>
      <c r="P87" s="301">
        <v>56</v>
      </c>
      <c r="Q87" s="308"/>
      <c r="R87" s="304">
        <f>SUM(E87:P87)</f>
        <v>672</v>
      </c>
      <c r="S87" s="487">
        <f>R87/R85</f>
        <v>1.0181818181818181</v>
      </c>
      <c r="T87" s="488">
        <f>R88/R86</f>
        <v>0.74146098595913734</v>
      </c>
      <c r="U87" s="32"/>
    </row>
    <row r="88" spans="1:23" ht="27" customHeight="1">
      <c r="A88" s="481"/>
      <c r="B88" s="482"/>
      <c r="C88" s="486"/>
      <c r="D88" s="249" t="s">
        <v>79</v>
      </c>
      <c r="E88" s="305">
        <v>1911.81</v>
      </c>
      <c r="F88" s="305">
        <v>4109.2199999999993</v>
      </c>
      <c r="G88" s="305">
        <v>4454.0999999999995</v>
      </c>
      <c r="H88" s="305">
        <v>2931</v>
      </c>
      <c r="I88" s="305">
        <v>1658.22</v>
      </c>
      <c r="J88" s="305">
        <v>3193</v>
      </c>
      <c r="K88" s="305">
        <v>15387.89</v>
      </c>
      <c r="L88" s="305">
        <v>1954.85</v>
      </c>
      <c r="M88" s="305">
        <v>3678.4700000000003</v>
      </c>
      <c r="N88" s="305">
        <v>1384.96</v>
      </c>
      <c r="O88" s="305">
        <v>1631.49</v>
      </c>
      <c r="P88" s="305">
        <v>19821.239999999998</v>
      </c>
      <c r="Q88" s="308"/>
      <c r="R88" s="306">
        <f t="shared" si="6"/>
        <v>62116.249999999993</v>
      </c>
      <c r="S88" s="487"/>
      <c r="T88" s="488"/>
      <c r="U88" s="32"/>
    </row>
    <row r="89" spans="1:23" ht="28.5" customHeight="1">
      <c r="A89" s="481">
        <v>5</v>
      </c>
      <c r="B89" s="489" t="s">
        <v>243</v>
      </c>
      <c r="C89" s="483" t="s">
        <v>246</v>
      </c>
      <c r="D89" s="254" t="s">
        <v>3</v>
      </c>
      <c r="E89" s="298">
        <v>1</v>
      </c>
      <c r="F89" s="298">
        <v>1</v>
      </c>
      <c r="G89" s="298">
        <v>1</v>
      </c>
      <c r="H89" s="298">
        <v>1</v>
      </c>
      <c r="I89" s="298">
        <v>1</v>
      </c>
      <c r="J89" s="298">
        <v>1</v>
      </c>
      <c r="K89" s="298">
        <v>1</v>
      </c>
      <c r="L89" s="298">
        <v>1</v>
      </c>
      <c r="M89" s="298">
        <v>1</v>
      </c>
      <c r="N89" s="298">
        <v>1</v>
      </c>
      <c r="O89" s="298">
        <v>1</v>
      </c>
      <c r="P89" s="298">
        <v>1</v>
      </c>
      <c r="Q89" s="484">
        <v>7836</v>
      </c>
      <c r="R89" s="307">
        <f t="shared" si="6"/>
        <v>12</v>
      </c>
      <c r="S89" s="485" t="s">
        <v>81</v>
      </c>
      <c r="T89" s="485" t="s">
        <v>78</v>
      </c>
      <c r="U89" s="32">
        <v>8661256.75</v>
      </c>
      <c r="W89" s="34">
        <f>R90-U89</f>
        <v>-2789961.3600000003</v>
      </c>
    </row>
    <row r="90" spans="1:23" ht="19.5" customHeight="1">
      <c r="A90" s="481"/>
      <c r="B90" s="489"/>
      <c r="C90" s="483"/>
      <c r="D90" s="254" t="s">
        <v>79</v>
      </c>
      <c r="E90" s="299">
        <v>502900.89999999997</v>
      </c>
      <c r="F90" s="299">
        <v>435249.28999999992</v>
      </c>
      <c r="G90" s="299">
        <v>435939.99</v>
      </c>
      <c r="H90" s="299">
        <v>436493.97</v>
      </c>
      <c r="I90" s="299">
        <v>458849.64999999997</v>
      </c>
      <c r="J90" s="299">
        <v>444649.45000000007</v>
      </c>
      <c r="K90" s="299">
        <v>444138.64999999997</v>
      </c>
      <c r="L90" s="299">
        <v>444138.64999999997</v>
      </c>
      <c r="M90" s="299">
        <v>466680.25999999995</v>
      </c>
      <c r="N90" s="299">
        <v>525289.09000000008</v>
      </c>
      <c r="O90" s="299">
        <v>487994.37999999995</v>
      </c>
      <c r="P90" s="299">
        <v>788971.1100000001</v>
      </c>
      <c r="Q90" s="484"/>
      <c r="R90" s="300">
        <f t="shared" si="6"/>
        <v>5871295.3899999997</v>
      </c>
      <c r="S90" s="485"/>
      <c r="T90" s="485"/>
      <c r="U90" s="32"/>
    </row>
    <row r="91" spans="1:23" ht="24.75" customHeight="1">
      <c r="A91" s="481"/>
      <c r="B91" s="489"/>
      <c r="C91" s="486" t="s">
        <v>45</v>
      </c>
      <c r="D91" s="249" t="str">
        <f>D89</f>
        <v>Estados Financieros</v>
      </c>
      <c r="E91" s="301">
        <v>1</v>
      </c>
      <c r="F91" s="301">
        <v>1</v>
      </c>
      <c r="G91" s="301">
        <v>1</v>
      </c>
      <c r="H91" s="301">
        <v>1</v>
      </c>
      <c r="I91" s="301">
        <v>1</v>
      </c>
      <c r="J91" s="301">
        <v>1</v>
      </c>
      <c r="K91" s="301">
        <v>1</v>
      </c>
      <c r="L91" s="301">
        <v>1</v>
      </c>
      <c r="M91" s="301">
        <v>1</v>
      </c>
      <c r="N91" s="301">
        <v>1</v>
      </c>
      <c r="O91" s="301">
        <v>1</v>
      </c>
      <c r="P91" s="301">
        <v>1</v>
      </c>
      <c r="Q91" s="308"/>
      <c r="R91" s="304">
        <f>SUM(E91:P91)</f>
        <v>12</v>
      </c>
      <c r="S91" s="487">
        <f>R91/R89</f>
        <v>1</v>
      </c>
      <c r="T91" s="488">
        <f>R92/R90</f>
        <v>0.99479292763023452</v>
      </c>
      <c r="U91" s="32"/>
    </row>
    <row r="92" spans="1:23" ht="21.75" customHeight="1">
      <c r="A92" s="481"/>
      <c r="B92" s="489"/>
      <c r="C92" s="486"/>
      <c r="D92" s="249" t="s">
        <v>79</v>
      </c>
      <c r="E92" s="305">
        <v>502900.89999999997</v>
      </c>
      <c r="F92" s="305">
        <v>435249.28999999992</v>
      </c>
      <c r="G92" s="305">
        <v>435939.99</v>
      </c>
      <c r="H92" s="305">
        <v>436493.97</v>
      </c>
      <c r="I92" s="305">
        <v>458849.64999999997</v>
      </c>
      <c r="J92" s="305">
        <v>444649.45000000007</v>
      </c>
      <c r="K92" s="305">
        <v>444138.64999999997</v>
      </c>
      <c r="L92" s="305">
        <v>444138.64999999997</v>
      </c>
      <c r="M92" s="305">
        <v>466680.25999999995</v>
      </c>
      <c r="N92" s="305">
        <v>525289.09000000008</v>
      </c>
      <c r="O92" s="305">
        <v>487994.37999999995</v>
      </c>
      <c r="P92" s="305">
        <v>758398.84999999986</v>
      </c>
      <c r="Q92" s="308"/>
      <c r="R92" s="306">
        <f>SUM(E92:P92)</f>
        <v>5840723.129999999</v>
      </c>
      <c r="S92" s="487"/>
      <c r="T92" s="488"/>
      <c r="U92" s="32"/>
    </row>
    <row r="93" spans="1:23" ht="31.5" customHeight="1">
      <c r="A93" s="481">
        <v>6</v>
      </c>
      <c r="B93" s="489" t="s">
        <v>271</v>
      </c>
      <c r="C93" s="483" t="s">
        <v>246</v>
      </c>
      <c r="D93" s="254" t="s">
        <v>93</v>
      </c>
      <c r="E93" s="298"/>
      <c r="F93" s="298"/>
      <c r="G93" s="298">
        <v>1</v>
      </c>
      <c r="H93" s="298"/>
      <c r="I93" s="298"/>
      <c r="J93" s="298">
        <v>1</v>
      </c>
      <c r="K93" s="298"/>
      <c r="L93" s="298"/>
      <c r="M93" s="298">
        <v>1</v>
      </c>
      <c r="N93" s="298"/>
      <c r="O93" s="298"/>
      <c r="P93" s="298">
        <v>1</v>
      </c>
      <c r="Q93" s="484">
        <v>991150</v>
      </c>
      <c r="R93" s="307">
        <f t="shared" ref="R93:R108" si="7">SUM(E93:P93)</f>
        <v>4</v>
      </c>
      <c r="S93" s="485" t="s">
        <v>99</v>
      </c>
      <c r="T93" s="485" t="s">
        <v>78</v>
      </c>
      <c r="U93" s="32">
        <v>2002275.53</v>
      </c>
      <c r="W93" s="34">
        <f>R94-U93</f>
        <v>-1715542.06</v>
      </c>
    </row>
    <row r="94" spans="1:23" ht="30.75" customHeight="1">
      <c r="A94" s="481"/>
      <c r="B94" s="489"/>
      <c r="C94" s="483"/>
      <c r="D94" s="254" t="s">
        <v>79</v>
      </c>
      <c r="E94" s="299"/>
      <c r="F94" s="299"/>
      <c r="G94" s="299">
        <v>54528.47</v>
      </c>
      <c r="H94" s="299"/>
      <c r="I94" s="299"/>
      <c r="J94" s="299">
        <v>19118.13</v>
      </c>
      <c r="K94" s="299"/>
      <c r="L94" s="299"/>
      <c r="M94" s="299">
        <v>17216.36</v>
      </c>
      <c r="N94" s="299"/>
      <c r="O94" s="299"/>
      <c r="P94" s="299">
        <v>195870.51</v>
      </c>
      <c r="Q94" s="484"/>
      <c r="R94" s="300">
        <f t="shared" si="7"/>
        <v>286733.47000000003</v>
      </c>
      <c r="S94" s="485"/>
      <c r="T94" s="485"/>
      <c r="U94" s="32"/>
    </row>
    <row r="95" spans="1:23" ht="27" customHeight="1">
      <c r="A95" s="481"/>
      <c r="B95" s="489"/>
      <c r="C95" s="486" t="s">
        <v>45</v>
      </c>
      <c r="D95" s="249" t="str">
        <f>D93</f>
        <v>Publicacion</v>
      </c>
      <c r="E95" s="301"/>
      <c r="F95" s="301"/>
      <c r="G95" s="301">
        <v>1</v>
      </c>
      <c r="H95" s="311"/>
      <c r="I95" s="311"/>
      <c r="J95" s="311">
        <v>1</v>
      </c>
      <c r="K95" s="302"/>
      <c r="L95" s="302"/>
      <c r="M95" s="301">
        <v>1</v>
      </c>
      <c r="N95" s="302"/>
      <c r="O95" s="302"/>
      <c r="P95" s="301">
        <v>1</v>
      </c>
      <c r="Q95" s="308"/>
      <c r="R95" s="304">
        <f t="shared" si="7"/>
        <v>4</v>
      </c>
      <c r="S95" s="487">
        <f>R95/R93</f>
        <v>1</v>
      </c>
      <c r="T95" s="488">
        <f>R96/R94</f>
        <v>0.53309291029052175</v>
      </c>
      <c r="U95" s="32"/>
    </row>
    <row r="96" spans="1:23" ht="43.5" customHeight="1">
      <c r="A96" s="481"/>
      <c r="B96" s="489"/>
      <c r="C96" s="486"/>
      <c r="D96" s="249" t="s">
        <v>79</v>
      </c>
      <c r="E96" s="305"/>
      <c r="F96" s="305"/>
      <c r="G96" s="305">
        <v>54528.47</v>
      </c>
      <c r="H96" s="305"/>
      <c r="I96" s="305"/>
      <c r="J96" s="305">
        <v>19118.13</v>
      </c>
      <c r="K96" s="305"/>
      <c r="L96" s="305"/>
      <c r="M96" s="305">
        <v>17216.36</v>
      </c>
      <c r="N96" s="305"/>
      <c r="O96" s="305"/>
      <c r="P96" s="305">
        <v>61992.619999999995</v>
      </c>
      <c r="Q96" s="308"/>
      <c r="R96" s="306">
        <f t="shared" si="7"/>
        <v>152855.58000000002</v>
      </c>
      <c r="S96" s="487"/>
      <c r="T96" s="488"/>
      <c r="U96" s="32"/>
    </row>
    <row r="97" spans="1:23" ht="31.5" customHeight="1">
      <c r="A97" s="481">
        <v>7</v>
      </c>
      <c r="B97" s="482" t="s">
        <v>467</v>
      </c>
      <c r="C97" s="483" t="s">
        <v>246</v>
      </c>
      <c r="D97" s="254" t="s">
        <v>83</v>
      </c>
      <c r="E97" s="298">
        <v>15</v>
      </c>
      <c r="F97" s="298">
        <v>12</v>
      </c>
      <c r="G97" s="298">
        <v>14</v>
      </c>
      <c r="H97" s="298">
        <v>14</v>
      </c>
      <c r="I97" s="298">
        <v>13</v>
      </c>
      <c r="J97" s="298">
        <v>14</v>
      </c>
      <c r="K97" s="298">
        <v>15</v>
      </c>
      <c r="L97" s="298">
        <v>12</v>
      </c>
      <c r="M97" s="298">
        <v>14</v>
      </c>
      <c r="N97" s="298">
        <v>14</v>
      </c>
      <c r="O97" s="298">
        <v>12</v>
      </c>
      <c r="P97" s="298">
        <v>16</v>
      </c>
      <c r="Q97" s="484">
        <v>7836</v>
      </c>
      <c r="R97" s="307">
        <f t="shared" si="7"/>
        <v>165</v>
      </c>
      <c r="S97" s="485" t="s">
        <v>8</v>
      </c>
      <c r="T97" s="485" t="s">
        <v>78</v>
      </c>
      <c r="U97" s="32">
        <v>2461171.9199999995</v>
      </c>
      <c r="W97" s="34">
        <f>R98-U97</f>
        <v>-989679.23999999953</v>
      </c>
    </row>
    <row r="98" spans="1:23" ht="35.25" customHeight="1">
      <c r="A98" s="481"/>
      <c r="B98" s="482"/>
      <c r="C98" s="483"/>
      <c r="D98" s="254" t="s">
        <v>79</v>
      </c>
      <c r="E98" s="299">
        <v>154945.95000000001</v>
      </c>
      <c r="F98" s="299">
        <v>138860.23000000001</v>
      </c>
      <c r="G98" s="299">
        <v>138911.67999999999</v>
      </c>
      <c r="H98" s="299">
        <v>23120.23</v>
      </c>
      <c r="I98" s="299">
        <v>138860.23000000001</v>
      </c>
      <c r="J98" s="299">
        <v>255835.03</v>
      </c>
      <c r="K98" s="299">
        <v>138860.23000000001</v>
      </c>
      <c r="L98" s="299">
        <v>138860.23000000001</v>
      </c>
      <c r="M98" s="299">
        <v>139231.15999999997</v>
      </c>
      <c r="N98" s="299">
        <v>26843.9</v>
      </c>
      <c r="O98" s="299">
        <v>139377.55000000005</v>
      </c>
      <c r="P98" s="299">
        <v>37786.259999999987</v>
      </c>
      <c r="Q98" s="484"/>
      <c r="R98" s="300">
        <f t="shared" si="7"/>
        <v>1471492.68</v>
      </c>
      <c r="S98" s="485"/>
      <c r="T98" s="485"/>
      <c r="U98" s="32"/>
    </row>
    <row r="99" spans="1:23" ht="27" customHeight="1">
      <c r="A99" s="481"/>
      <c r="B99" s="482"/>
      <c r="C99" s="486" t="s">
        <v>45</v>
      </c>
      <c r="D99" s="249" t="s">
        <v>83</v>
      </c>
      <c r="E99" s="301">
        <v>18</v>
      </c>
      <c r="F99" s="301">
        <v>12</v>
      </c>
      <c r="G99" s="301">
        <v>14</v>
      </c>
      <c r="H99" s="302">
        <v>12</v>
      </c>
      <c r="I99" s="302">
        <v>10</v>
      </c>
      <c r="J99" s="302">
        <v>14</v>
      </c>
      <c r="K99" s="301">
        <v>15</v>
      </c>
      <c r="L99" s="301">
        <v>12</v>
      </c>
      <c r="M99" s="301">
        <v>14</v>
      </c>
      <c r="N99" s="301">
        <v>14</v>
      </c>
      <c r="O99" s="301">
        <v>12</v>
      </c>
      <c r="P99" s="301">
        <v>16</v>
      </c>
      <c r="Q99" s="308"/>
      <c r="R99" s="304">
        <f>SUM(E99:P99)</f>
        <v>163</v>
      </c>
      <c r="S99" s="487">
        <f>R99/R97</f>
        <v>0.98787878787878791</v>
      </c>
      <c r="T99" s="488">
        <f>R100/R98</f>
        <v>0.996348925092852</v>
      </c>
      <c r="U99" s="32"/>
    </row>
    <row r="100" spans="1:23" ht="64.5" customHeight="1">
      <c r="A100" s="481"/>
      <c r="B100" s="482"/>
      <c r="C100" s="486"/>
      <c r="D100" s="249" t="s">
        <v>79</v>
      </c>
      <c r="E100" s="305">
        <v>154945.95000000001</v>
      </c>
      <c r="F100" s="305">
        <v>138860.23000000001</v>
      </c>
      <c r="G100" s="305">
        <v>138911.67999999999</v>
      </c>
      <c r="H100" s="305">
        <v>23120.23</v>
      </c>
      <c r="I100" s="305">
        <v>138860.23000000001</v>
      </c>
      <c r="J100" s="305">
        <v>255835.03</v>
      </c>
      <c r="K100" s="305">
        <v>138860.23000000001</v>
      </c>
      <c r="L100" s="305">
        <v>138860.23000000001</v>
      </c>
      <c r="M100" s="305">
        <v>139231.15999999997</v>
      </c>
      <c r="N100" s="305">
        <v>26843.9</v>
      </c>
      <c r="O100" s="305">
        <v>139377.55000000005</v>
      </c>
      <c r="P100" s="305">
        <v>32413.730000000003</v>
      </c>
      <c r="Q100" s="308"/>
      <c r="R100" s="306">
        <f t="shared" si="7"/>
        <v>1466120.15</v>
      </c>
      <c r="S100" s="487"/>
      <c r="T100" s="488"/>
      <c r="U100" s="32"/>
    </row>
    <row r="101" spans="1:23" ht="39.75" customHeight="1">
      <c r="A101" s="481">
        <v>8</v>
      </c>
      <c r="B101" s="482" t="s">
        <v>4</v>
      </c>
      <c r="C101" s="483" t="s">
        <v>246</v>
      </c>
      <c r="D101" s="254" t="s">
        <v>82</v>
      </c>
      <c r="E101" s="298">
        <v>16</v>
      </c>
      <c r="F101" s="298">
        <v>9</v>
      </c>
      <c r="G101" s="298">
        <v>14</v>
      </c>
      <c r="H101" s="298">
        <v>9</v>
      </c>
      <c r="I101" s="298">
        <v>9</v>
      </c>
      <c r="J101" s="298">
        <v>14</v>
      </c>
      <c r="K101" s="298">
        <v>9</v>
      </c>
      <c r="L101" s="298">
        <v>9</v>
      </c>
      <c r="M101" s="298">
        <v>14</v>
      </c>
      <c r="N101" s="298">
        <v>9</v>
      </c>
      <c r="O101" s="298">
        <v>9</v>
      </c>
      <c r="P101" s="298">
        <v>14</v>
      </c>
      <c r="Q101" s="484">
        <v>7836</v>
      </c>
      <c r="R101" s="307">
        <f t="shared" si="7"/>
        <v>135</v>
      </c>
      <c r="S101" s="485" t="s">
        <v>5</v>
      </c>
      <c r="T101" s="485" t="s">
        <v>78</v>
      </c>
      <c r="U101" s="32"/>
    </row>
    <row r="102" spans="1:23" ht="28.5" customHeight="1">
      <c r="A102" s="481"/>
      <c r="B102" s="482"/>
      <c r="C102" s="483"/>
      <c r="D102" s="254" t="s">
        <v>79</v>
      </c>
      <c r="E102" s="299">
        <v>60580.350000000006</v>
      </c>
      <c r="F102" s="299">
        <v>63239.710000000006</v>
      </c>
      <c r="G102" s="299">
        <v>62549.48</v>
      </c>
      <c r="H102" s="299">
        <v>62753.68</v>
      </c>
      <c r="I102" s="299">
        <v>76060.34</v>
      </c>
      <c r="J102" s="299">
        <v>63094.94</v>
      </c>
      <c r="K102" s="299">
        <v>63094.94</v>
      </c>
      <c r="L102" s="299">
        <v>63094.94</v>
      </c>
      <c r="M102" s="299">
        <v>63094.94</v>
      </c>
      <c r="N102" s="299">
        <v>63094.94</v>
      </c>
      <c r="O102" s="299">
        <v>62327.159999999996</v>
      </c>
      <c r="P102" s="299">
        <v>247210.48000000004</v>
      </c>
      <c r="Q102" s="484"/>
      <c r="R102" s="300">
        <f t="shared" si="7"/>
        <v>950195.90000000014</v>
      </c>
      <c r="S102" s="485"/>
      <c r="T102" s="485"/>
      <c r="U102" s="32">
        <v>37590670.720000006</v>
      </c>
      <c r="W102" s="34">
        <f>R102-U102</f>
        <v>-36640474.820000008</v>
      </c>
    </row>
    <row r="103" spans="1:23" ht="27" customHeight="1">
      <c r="A103" s="481"/>
      <c r="B103" s="482"/>
      <c r="C103" s="486" t="s">
        <v>45</v>
      </c>
      <c r="D103" s="249" t="str">
        <f>D101</f>
        <v>Reportes</v>
      </c>
      <c r="E103" s="301">
        <v>16</v>
      </c>
      <c r="F103" s="301">
        <v>9</v>
      </c>
      <c r="G103" s="301">
        <v>14</v>
      </c>
      <c r="H103" s="301">
        <v>9</v>
      </c>
      <c r="I103" s="301">
        <v>9</v>
      </c>
      <c r="J103" s="301">
        <v>14</v>
      </c>
      <c r="K103" s="301">
        <v>9</v>
      </c>
      <c r="L103" s="301">
        <v>9</v>
      </c>
      <c r="M103" s="301">
        <v>14</v>
      </c>
      <c r="N103" s="301">
        <v>9</v>
      </c>
      <c r="O103" s="301">
        <v>9</v>
      </c>
      <c r="P103" s="301">
        <v>14</v>
      </c>
      <c r="Q103" s="308"/>
      <c r="R103" s="304">
        <f>SUM(E103:P103)</f>
        <v>135</v>
      </c>
      <c r="S103" s="487">
        <f>R103/R101</f>
        <v>1</v>
      </c>
      <c r="T103" s="488">
        <f>R104/R102</f>
        <v>0.85305955329843031</v>
      </c>
      <c r="U103" s="32"/>
    </row>
    <row r="104" spans="1:23" ht="27" customHeight="1">
      <c r="A104" s="481"/>
      <c r="B104" s="482"/>
      <c r="C104" s="486"/>
      <c r="D104" s="249" t="str">
        <f>D102</f>
        <v>Monto</v>
      </c>
      <c r="E104" s="305">
        <v>60580.350000000006</v>
      </c>
      <c r="F104" s="305">
        <v>63239.710000000006</v>
      </c>
      <c r="G104" s="305">
        <v>62549.48</v>
      </c>
      <c r="H104" s="305">
        <v>62753.68</v>
      </c>
      <c r="I104" s="305">
        <v>76060.34</v>
      </c>
      <c r="J104" s="305">
        <v>63094.94</v>
      </c>
      <c r="K104" s="305">
        <v>63094.94</v>
      </c>
      <c r="L104" s="305">
        <v>63094.94</v>
      </c>
      <c r="M104" s="305">
        <v>63094.94</v>
      </c>
      <c r="N104" s="305">
        <v>63094.94</v>
      </c>
      <c r="O104" s="305">
        <v>62327.159999999996</v>
      </c>
      <c r="P104" s="305">
        <v>107588.26999999999</v>
      </c>
      <c r="Q104" s="308"/>
      <c r="R104" s="306">
        <f t="shared" si="7"/>
        <v>810573.69000000006</v>
      </c>
      <c r="S104" s="487"/>
      <c r="T104" s="488"/>
      <c r="U104" s="32"/>
    </row>
    <row r="105" spans="1:23" ht="33.75" customHeight="1">
      <c r="A105" s="481">
        <v>9</v>
      </c>
      <c r="B105" s="482" t="s">
        <v>49</v>
      </c>
      <c r="C105" s="483" t="s">
        <v>246</v>
      </c>
      <c r="D105" s="254" t="s">
        <v>93</v>
      </c>
      <c r="E105" s="298"/>
      <c r="F105" s="298"/>
      <c r="G105" s="298">
        <v>1</v>
      </c>
      <c r="H105" s="298"/>
      <c r="I105" s="298"/>
      <c r="J105" s="298">
        <v>1</v>
      </c>
      <c r="K105" s="298"/>
      <c r="L105" s="298"/>
      <c r="M105" s="298">
        <v>1</v>
      </c>
      <c r="N105" s="298"/>
      <c r="O105" s="298"/>
      <c r="P105" s="298">
        <v>1</v>
      </c>
      <c r="Q105" s="484">
        <v>7836</v>
      </c>
      <c r="R105" s="307">
        <f t="shared" si="7"/>
        <v>4</v>
      </c>
      <c r="S105" s="485" t="s">
        <v>100</v>
      </c>
      <c r="T105" s="485" t="s">
        <v>78</v>
      </c>
      <c r="U105" s="32">
        <v>2812522.1300000013</v>
      </c>
      <c r="W105" s="34">
        <f>R106-U105</f>
        <v>-2731784.4600000014</v>
      </c>
    </row>
    <row r="106" spans="1:23" ht="31.5" customHeight="1">
      <c r="A106" s="481"/>
      <c r="B106" s="482"/>
      <c r="C106" s="483"/>
      <c r="D106" s="254" t="s">
        <v>79</v>
      </c>
      <c r="E106" s="299"/>
      <c r="F106" s="299"/>
      <c r="G106" s="299">
        <v>6448.7699999999995</v>
      </c>
      <c r="H106" s="299"/>
      <c r="I106" s="299"/>
      <c r="J106" s="299">
        <v>1468.97</v>
      </c>
      <c r="K106" s="299"/>
      <c r="L106" s="299"/>
      <c r="M106" s="299">
        <v>1371.76</v>
      </c>
      <c r="N106" s="299"/>
      <c r="O106" s="299"/>
      <c r="P106" s="299">
        <v>71448.17</v>
      </c>
      <c r="Q106" s="484"/>
      <c r="R106" s="300">
        <f t="shared" si="7"/>
        <v>80737.67</v>
      </c>
      <c r="S106" s="485"/>
      <c r="T106" s="485"/>
      <c r="U106" s="32"/>
    </row>
    <row r="107" spans="1:23" ht="27" customHeight="1">
      <c r="A107" s="481"/>
      <c r="B107" s="482"/>
      <c r="C107" s="486" t="s">
        <v>45</v>
      </c>
      <c r="D107" s="249" t="str">
        <f>D105</f>
        <v>Publicacion</v>
      </c>
      <c r="E107" s="301"/>
      <c r="F107" s="301"/>
      <c r="G107" s="301">
        <v>1</v>
      </c>
      <c r="H107" s="302"/>
      <c r="I107" s="302"/>
      <c r="J107" s="301">
        <v>1</v>
      </c>
      <c r="K107" s="302"/>
      <c r="L107" s="302"/>
      <c r="M107" s="301">
        <v>1</v>
      </c>
      <c r="N107" s="302"/>
      <c r="O107" s="302"/>
      <c r="P107" s="301">
        <v>1</v>
      </c>
      <c r="Q107" s="308"/>
      <c r="R107" s="304">
        <f t="shared" si="7"/>
        <v>4</v>
      </c>
      <c r="S107" s="487">
        <f>R107/R105</f>
        <v>1</v>
      </c>
      <c r="T107" s="488">
        <f>R108/R106</f>
        <v>0.22391121765094285</v>
      </c>
      <c r="U107" s="32"/>
    </row>
    <row r="108" spans="1:23" ht="61.5" customHeight="1">
      <c r="A108" s="481"/>
      <c r="B108" s="482"/>
      <c r="C108" s="486"/>
      <c r="D108" s="249" t="str">
        <f>D106</f>
        <v>Monto</v>
      </c>
      <c r="E108" s="305"/>
      <c r="F108" s="305"/>
      <c r="G108" s="305">
        <v>6448.7699999999995</v>
      </c>
      <c r="H108" s="305"/>
      <c r="I108" s="305"/>
      <c r="J108" s="305">
        <v>1468.97</v>
      </c>
      <c r="K108" s="305"/>
      <c r="L108" s="305"/>
      <c r="M108" s="305">
        <v>1371.76</v>
      </c>
      <c r="N108" s="305"/>
      <c r="O108" s="305"/>
      <c r="P108" s="305">
        <v>8788.57</v>
      </c>
      <c r="Q108" s="308"/>
      <c r="R108" s="306">
        <f t="shared" si="7"/>
        <v>18078.07</v>
      </c>
      <c r="S108" s="487"/>
      <c r="T108" s="488"/>
      <c r="U108" s="32"/>
    </row>
    <row r="109" spans="1:23" ht="27" customHeight="1">
      <c r="A109" s="481">
        <v>10</v>
      </c>
      <c r="B109" s="482" t="s">
        <v>9</v>
      </c>
      <c r="C109" s="483" t="s">
        <v>246</v>
      </c>
      <c r="D109" s="254" t="s">
        <v>84</v>
      </c>
      <c r="E109" s="298">
        <v>2</v>
      </c>
      <c r="F109" s="298">
        <v>2</v>
      </c>
      <c r="G109" s="298">
        <v>2</v>
      </c>
      <c r="H109" s="298">
        <v>2</v>
      </c>
      <c r="I109" s="298">
        <v>2</v>
      </c>
      <c r="J109" s="298">
        <v>2</v>
      </c>
      <c r="K109" s="298">
        <v>2</v>
      </c>
      <c r="L109" s="298">
        <v>2</v>
      </c>
      <c r="M109" s="298">
        <v>2</v>
      </c>
      <c r="N109" s="298">
        <v>2</v>
      </c>
      <c r="O109" s="298">
        <v>2</v>
      </c>
      <c r="P109" s="298">
        <v>2</v>
      </c>
      <c r="Q109" s="484">
        <v>7836</v>
      </c>
      <c r="R109" s="307">
        <f>SUM(E109:P109)</f>
        <v>24</v>
      </c>
      <c r="S109" s="485" t="s">
        <v>101</v>
      </c>
      <c r="T109" s="485" t="s">
        <v>78</v>
      </c>
      <c r="U109" s="32">
        <v>20828869.800000004</v>
      </c>
      <c r="W109" s="34">
        <f>R110-U109</f>
        <v>4766637.299999997</v>
      </c>
    </row>
    <row r="110" spans="1:23" ht="27" customHeight="1">
      <c r="A110" s="481"/>
      <c r="B110" s="482"/>
      <c r="C110" s="483"/>
      <c r="D110" s="254" t="s">
        <v>79</v>
      </c>
      <c r="E110" s="299">
        <v>1022997.81</v>
      </c>
      <c r="F110" s="299">
        <v>1809691.6300000004</v>
      </c>
      <c r="G110" s="299">
        <v>787846.00999999989</v>
      </c>
      <c r="H110" s="299">
        <v>632576.65</v>
      </c>
      <c r="I110" s="299">
        <v>653749.51</v>
      </c>
      <c r="J110" s="299">
        <v>863368.81</v>
      </c>
      <c r="K110" s="299">
        <v>1812071.2699999998</v>
      </c>
      <c r="L110" s="299">
        <v>736005.05</v>
      </c>
      <c r="M110" s="299">
        <v>1326627.18</v>
      </c>
      <c r="N110" s="299">
        <v>621233.04</v>
      </c>
      <c r="O110" s="299">
        <v>743831.78000000014</v>
      </c>
      <c r="P110" s="299">
        <v>14585508.360000001</v>
      </c>
      <c r="Q110" s="484"/>
      <c r="R110" s="300">
        <f t="shared" ref="R110:R114" si="8">SUM(E110:P110)</f>
        <v>25595507.100000001</v>
      </c>
      <c r="S110" s="485"/>
      <c r="T110" s="485"/>
      <c r="U110" s="32"/>
    </row>
    <row r="111" spans="1:23" ht="27" customHeight="1">
      <c r="A111" s="481"/>
      <c r="B111" s="482"/>
      <c r="C111" s="486" t="s">
        <v>45</v>
      </c>
      <c r="D111" s="249" t="str">
        <f>D109</f>
        <v>Nominas</v>
      </c>
      <c r="E111" s="301">
        <v>2</v>
      </c>
      <c r="F111" s="301">
        <v>2</v>
      </c>
      <c r="G111" s="301">
        <v>2</v>
      </c>
      <c r="H111" s="301">
        <v>2</v>
      </c>
      <c r="I111" s="301">
        <v>2</v>
      </c>
      <c r="J111" s="301">
        <v>2</v>
      </c>
      <c r="K111" s="301">
        <v>2</v>
      </c>
      <c r="L111" s="301">
        <v>2</v>
      </c>
      <c r="M111" s="301">
        <v>2</v>
      </c>
      <c r="N111" s="301">
        <v>2</v>
      </c>
      <c r="O111" s="301">
        <v>2</v>
      </c>
      <c r="P111" s="301">
        <v>2</v>
      </c>
      <c r="Q111" s="308"/>
      <c r="R111" s="304">
        <f>SUM(E111:P111)</f>
        <v>24</v>
      </c>
      <c r="S111" s="487">
        <f>R111/R109</f>
        <v>1</v>
      </c>
      <c r="T111" s="488">
        <f>R112/R110</f>
        <v>0.5118943339864519</v>
      </c>
      <c r="U111" s="32"/>
    </row>
    <row r="112" spans="1:23" ht="27" customHeight="1">
      <c r="A112" s="481"/>
      <c r="B112" s="482"/>
      <c r="C112" s="486"/>
      <c r="D112" s="249" t="str">
        <f>D110</f>
        <v>Monto</v>
      </c>
      <c r="E112" s="305">
        <v>1022997.81</v>
      </c>
      <c r="F112" s="305">
        <v>1809691.6300000004</v>
      </c>
      <c r="G112" s="305">
        <v>787846.00999999989</v>
      </c>
      <c r="H112" s="305">
        <v>632576.65</v>
      </c>
      <c r="I112" s="305">
        <v>653749.51</v>
      </c>
      <c r="J112" s="305">
        <v>863368.81</v>
      </c>
      <c r="K112" s="305">
        <v>1812071.2699999998</v>
      </c>
      <c r="L112" s="305">
        <v>736005.05</v>
      </c>
      <c r="M112" s="305">
        <v>1326627.18</v>
      </c>
      <c r="N112" s="305">
        <v>621233.04</v>
      </c>
      <c r="O112" s="305">
        <v>743831.78000000014</v>
      </c>
      <c r="P112" s="305">
        <v>2092196.3199999998</v>
      </c>
      <c r="Q112" s="308"/>
      <c r="R112" s="306">
        <f t="shared" si="8"/>
        <v>13102195.060000001</v>
      </c>
      <c r="S112" s="487"/>
      <c r="T112" s="488"/>
      <c r="U112" s="32"/>
    </row>
    <row r="113" spans="1:23" ht="38.25" customHeight="1">
      <c r="A113" s="481">
        <v>11</v>
      </c>
      <c r="B113" s="482" t="s">
        <v>10</v>
      </c>
      <c r="C113" s="483" t="s">
        <v>246</v>
      </c>
      <c r="D113" s="254" t="s">
        <v>85</v>
      </c>
      <c r="E113" s="298">
        <v>500</v>
      </c>
      <c r="F113" s="298">
        <v>500</v>
      </c>
      <c r="G113" s="298">
        <v>500</v>
      </c>
      <c r="H113" s="298">
        <v>200</v>
      </c>
      <c r="I113" s="298">
        <v>200</v>
      </c>
      <c r="J113" s="298">
        <v>200</v>
      </c>
      <c r="K113" s="298">
        <v>300</v>
      </c>
      <c r="L113" s="298">
        <v>300</v>
      </c>
      <c r="M113" s="298">
        <v>300</v>
      </c>
      <c r="N113" s="298">
        <v>300</v>
      </c>
      <c r="O113" s="298">
        <v>400</v>
      </c>
      <c r="P113" s="298">
        <v>500</v>
      </c>
      <c r="Q113" s="484">
        <v>7836</v>
      </c>
      <c r="R113" s="307">
        <f>SUM(E113:P113)</f>
        <v>4200</v>
      </c>
      <c r="S113" s="485" t="s">
        <v>11</v>
      </c>
      <c r="T113" s="485" t="s">
        <v>78</v>
      </c>
      <c r="U113" s="32">
        <v>2155642.1900000004</v>
      </c>
      <c r="W113" s="34">
        <f>R114-U113</f>
        <v>3469842.2699999986</v>
      </c>
    </row>
    <row r="114" spans="1:23" ht="33" customHeight="1">
      <c r="A114" s="481"/>
      <c r="B114" s="482"/>
      <c r="C114" s="483"/>
      <c r="D114" s="254" t="s">
        <v>79</v>
      </c>
      <c r="E114" s="299">
        <v>291340.19999999995</v>
      </c>
      <c r="F114" s="299">
        <v>270638.70999999996</v>
      </c>
      <c r="G114" s="299">
        <v>572863.51999999979</v>
      </c>
      <c r="H114" s="299">
        <v>356571.96</v>
      </c>
      <c r="I114" s="299">
        <v>843081.82</v>
      </c>
      <c r="J114" s="299">
        <v>709320.74</v>
      </c>
      <c r="K114" s="299">
        <v>719524.22000000009</v>
      </c>
      <c r="L114" s="299">
        <v>497196.22</v>
      </c>
      <c r="M114" s="299">
        <v>260087.58000000002</v>
      </c>
      <c r="N114" s="299">
        <v>285167.42999999988</v>
      </c>
      <c r="O114" s="299">
        <v>262491.21999999997</v>
      </c>
      <c r="P114" s="299">
        <v>557200.84000000008</v>
      </c>
      <c r="Q114" s="484"/>
      <c r="R114" s="300">
        <f t="shared" si="8"/>
        <v>5625484.459999999</v>
      </c>
      <c r="S114" s="485"/>
      <c r="T114" s="485"/>
      <c r="U114" s="32"/>
    </row>
    <row r="115" spans="1:23" ht="27" customHeight="1">
      <c r="A115" s="481"/>
      <c r="B115" s="482"/>
      <c r="C115" s="486" t="s">
        <v>45</v>
      </c>
      <c r="D115" s="249" t="s">
        <v>85</v>
      </c>
      <c r="E115" s="301">
        <v>562</v>
      </c>
      <c r="F115" s="301">
        <v>532</v>
      </c>
      <c r="G115" s="301">
        <v>429</v>
      </c>
      <c r="H115" s="301">
        <v>158</v>
      </c>
      <c r="I115" s="301">
        <v>256</v>
      </c>
      <c r="J115" s="301">
        <v>156</v>
      </c>
      <c r="K115" s="301">
        <v>314</v>
      </c>
      <c r="L115" s="301">
        <v>245</v>
      </c>
      <c r="M115" s="301">
        <v>428</v>
      </c>
      <c r="N115" s="301">
        <v>285</v>
      </c>
      <c r="O115" s="301">
        <v>359</v>
      </c>
      <c r="P115" s="301">
        <v>305</v>
      </c>
      <c r="Q115" s="308"/>
      <c r="R115" s="304">
        <f>SUM(E115:Q115)</f>
        <v>4029</v>
      </c>
      <c r="S115" s="487">
        <f>R115/R113</f>
        <v>0.9592857142857143</v>
      </c>
      <c r="T115" s="488">
        <f>R116/R114</f>
        <v>0.96127519299911113</v>
      </c>
      <c r="U115" s="32"/>
    </row>
    <row r="116" spans="1:23" ht="30.75" customHeight="1">
      <c r="A116" s="481"/>
      <c r="B116" s="482"/>
      <c r="C116" s="486"/>
      <c r="D116" s="249" t="s">
        <v>79</v>
      </c>
      <c r="E116" s="305">
        <v>291340.19999999995</v>
      </c>
      <c r="F116" s="305">
        <v>270638.70999999996</v>
      </c>
      <c r="G116" s="305">
        <v>572863.51999999979</v>
      </c>
      <c r="H116" s="305">
        <v>356571.96</v>
      </c>
      <c r="I116" s="305">
        <v>843081.82</v>
      </c>
      <c r="J116" s="305">
        <v>709320.74</v>
      </c>
      <c r="K116" s="305">
        <v>719524.22000000009</v>
      </c>
      <c r="L116" s="305">
        <v>497196.22</v>
      </c>
      <c r="M116" s="305">
        <v>260087.58000000002</v>
      </c>
      <c r="N116" s="305">
        <v>285167.42999999988</v>
      </c>
      <c r="O116" s="305">
        <v>262491.21999999997</v>
      </c>
      <c r="P116" s="305">
        <v>339355.03999999992</v>
      </c>
      <c r="Q116" s="308"/>
      <c r="R116" s="306">
        <f>SUM(E116:P116)</f>
        <v>5407638.6599999992</v>
      </c>
      <c r="S116" s="487"/>
      <c r="T116" s="488"/>
      <c r="U116" s="32"/>
    </row>
    <row r="117" spans="1:23" ht="61.5" customHeight="1">
      <c r="A117" s="481">
        <v>12</v>
      </c>
      <c r="B117" s="482" t="s">
        <v>62</v>
      </c>
      <c r="C117" s="483" t="s">
        <v>246</v>
      </c>
      <c r="D117" s="254" t="s">
        <v>80</v>
      </c>
      <c r="E117" s="298">
        <v>10</v>
      </c>
      <c r="F117" s="298">
        <v>10</v>
      </c>
      <c r="G117" s="298">
        <v>10</v>
      </c>
      <c r="H117" s="298">
        <v>10</v>
      </c>
      <c r="I117" s="298">
        <v>10</v>
      </c>
      <c r="J117" s="298">
        <v>10</v>
      </c>
      <c r="K117" s="298">
        <v>3</v>
      </c>
      <c r="L117" s="298">
        <v>3</v>
      </c>
      <c r="M117" s="298">
        <v>3</v>
      </c>
      <c r="N117" s="298">
        <v>3</v>
      </c>
      <c r="O117" s="298">
        <v>3</v>
      </c>
      <c r="P117" s="298">
        <v>3</v>
      </c>
      <c r="Q117" s="484">
        <v>7836</v>
      </c>
      <c r="R117" s="312">
        <f>SUM(E117:P117)</f>
        <v>78</v>
      </c>
      <c r="S117" s="485" t="s">
        <v>102</v>
      </c>
      <c r="T117" s="485" t="s">
        <v>78</v>
      </c>
      <c r="U117" s="32"/>
    </row>
    <row r="118" spans="1:23" ht="51" customHeight="1">
      <c r="A118" s="481"/>
      <c r="B118" s="482"/>
      <c r="C118" s="483"/>
      <c r="D118" s="254" t="s">
        <v>79</v>
      </c>
      <c r="E118" s="299">
        <v>1531909.1699999995</v>
      </c>
      <c r="F118" s="299">
        <v>1377652.9700000002</v>
      </c>
      <c r="G118" s="299">
        <v>1413221.6</v>
      </c>
      <c r="H118" s="299">
        <v>1408925.55</v>
      </c>
      <c r="I118" s="299">
        <v>1477696.15</v>
      </c>
      <c r="J118" s="299">
        <v>1423151.18</v>
      </c>
      <c r="K118" s="299">
        <v>1389202.6400000001</v>
      </c>
      <c r="L118" s="299">
        <v>1377092.3399999999</v>
      </c>
      <c r="M118" s="299">
        <v>1394274.3</v>
      </c>
      <c r="N118" s="299">
        <v>1512457.5899999999</v>
      </c>
      <c r="O118" s="299">
        <v>1406556.0100000002</v>
      </c>
      <c r="P118" s="299">
        <v>2278871.02</v>
      </c>
      <c r="Q118" s="484"/>
      <c r="R118" s="300">
        <f t="shared" ref="R118:R136" si="9">SUM(E118:P118)</f>
        <v>17991010.52</v>
      </c>
      <c r="S118" s="485"/>
      <c r="T118" s="485"/>
      <c r="U118" s="32"/>
    </row>
    <row r="119" spans="1:23" ht="24.95" customHeight="1">
      <c r="A119" s="481"/>
      <c r="B119" s="482"/>
      <c r="C119" s="486" t="s">
        <v>45</v>
      </c>
      <c r="D119" s="249" t="str">
        <f>D117</f>
        <v>Resguardos</v>
      </c>
      <c r="E119" s="301">
        <v>4</v>
      </c>
      <c r="F119" s="301">
        <v>13</v>
      </c>
      <c r="G119" s="301">
        <v>13</v>
      </c>
      <c r="H119" s="301">
        <v>7</v>
      </c>
      <c r="I119" s="301">
        <v>7</v>
      </c>
      <c r="J119" s="301">
        <v>7</v>
      </c>
      <c r="K119" s="313">
        <v>4</v>
      </c>
      <c r="L119" s="313">
        <v>1</v>
      </c>
      <c r="M119" s="313">
        <v>1</v>
      </c>
      <c r="N119" s="313">
        <v>2</v>
      </c>
      <c r="O119" s="313">
        <v>2</v>
      </c>
      <c r="P119" s="313">
        <v>3</v>
      </c>
      <c r="Q119" s="308"/>
      <c r="R119" s="314">
        <f t="shared" si="9"/>
        <v>64</v>
      </c>
      <c r="S119" s="487">
        <f>R119/R117</f>
        <v>0.82051282051282048</v>
      </c>
      <c r="T119" s="488">
        <f>R120/R118</f>
        <v>0.9884835479491455</v>
      </c>
      <c r="U119" s="32"/>
    </row>
    <row r="120" spans="1:23" ht="24.95" customHeight="1">
      <c r="A120" s="481"/>
      <c r="B120" s="482"/>
      <c r="C120" s="486"/>
      <c r="D120" s="249" t="s">
        <v>79</v>
      </c>
      <c r="E120" s="305">
        <v>1531909.1699999995</v>
      </c>
      <c r="F120" s="305">
        <v>1377652.9700000002</v>
      </c>
      <c r="G120" s="305">
        <v>1413221.6</v>
      </c>
      <c r="H120" s="305">
        <v>1408925.55</v>
      </c>
      <c r="I120" s="305">
        <v>1477696.15</v>
      </c>
      <c r="J120" s="305">
        <v>1423151.18</v>
      </c>
      <c r="K120" s="305">
        <v>1389202.6400000001</v>
      </c>
      <c r="L120" s="305">
        <v>1377092.3399999999</v>
      </c>
      <c r="M120" s="305">
        <v>1394274.3</v>
      </c>
      <c r="N120" s="305">
        <v>1512457.5899999999</v>
      </c>
      <c r="O120" s="305">
        <v>1406556.0100000002</v>
      </c>
      <c r="P120" s="305">
        <v>2071678.4100000001</v>
      </c>
      <c r="Q120" s="308"/>
      <c r="R120" s="306">
        <f t="shared" si="9"/>
        <v>17783817.91</v>
      </c>
      <c r="S120" s="487"/>
      <c r="T120" s="488"/>
      <c r="U120" s="32"/>
    </row>
    <row r="121" spans="1:23" ht="41.25" customHeight="1">
      <c r="A121" s="481">
        <v>13</v>
      </c>
      <c r="B121" s="482" t="s">
        <v>61</v>
      </c>
      <c r="C121" s="483" t="s">
        <v>246</v>
      </c>
      <c r="D121" s="254" t="s">
        <v>82</v>
      </c>
      <c r="E121" s="298">
        <v>65</v>
      </c>
      <c r="F121" s="298">
        <v>65</v>
      </c>
      <c r="G121" s="298">
        <v>65</v>
      </c>
      <c r="H121" s="298">
        <v>65</v>
      </c>
      <c r="I121" s="298">
        <v>20</v>
      </c>
      <c r="J121" s="298">
        <v>20</v>
      </c>
      <c r="K121" s="298">
        <v>35</v>
      </c>
      <c r="L121" s="298">
        <v>35</v>
      </c>
      <c r="M121" s="298">
        <v>40</v>
      </c>
      <c r="N121" s="298">
        <v>40</v>
      </c>
      <c r="O121" s="298">
        <v>40</v>
      </c>
      <c r="P121" s="298">
        <v>40</v>
      </c>
      <c r="Q121" s="484">
        <v>7836</v>
      </c>
      <c r="R121" s="315">
        <f t="shared" si="9"/>
        <v>530</v>
      </c>
      <c r="S121" s="485" t="s">
        <v>12</v>
      </c>
      <c r="T121" s="485" t="s">
        <v>78</v>
      </c>
      <c r="U121" s="32"/>
    </row>
    <row r="122" spans="1:23" ht="41.25" customHeight="1">
      <c r="A122" s="481"/>
      <c r="B122" s="482"/>
      <c r="C122" s="483"/>
      <c r="D122" s="254" t="s">
        <v>79</v>
      </c>
      <c r="E122" s="300">
        <v>855079.08000000007</v>
      </c>
      <c r="F122" s="300">
        <v>298290.02999999997</v>
      </c>
      <c r="G122" s="300">
        <v>1061516.8799999999</v>
      </c>
      <c r="H122" s="300">
        <v>97290.34</v>
      </c>
      <c r="I122" s="300">
        <v>417320.52</v>
      </c>
      <c r="J122" s="300">
        <v>217263.44</v>
      </c>
      <c r="K122" s="300">
        <v>218976.81</v>
      </c>
      <c r="L122" s="300">
        <v>90241.67</v>
      </c>
      <c r="M122" s="300">
        <v>228539.84</v>
      </c>
      <c r="N122" s="300">
        <v>115886.79</v>
      </c>
      <c r="O122" s="300">
        <v>86396.03</v>
      </c>
      <c r="P122" s="300">
        <v>962806.44999999972</v>
      </c>
      <c r="Q122" s="484"/>
      <c r="R122" s="300">
        <f t="shared" si="9"/>
        <v>4649607.879999999</v>
      </c>
      <c r="S122" s="485"/>
      <c r="T122" s="485"/>
      <c r="U122" s="32"/>
    </row>
    <row r="123" spans="1:23" ht="41.25" customHeight="1">
      <c r="A123" s="481"/>
      <c r="B123" s="482"/>
      <c r="C123" s="486" t="s">
        <v>45</v>
      </c>
      <c r="D123" s="249" t="str">
        <f>D121</f>
        <v>Reportes</v>
      </c>
      <c r="E123" s="301">
        <v>46</v>
      </c>
      <c r="F123" s="301">
        <v>57</v>
      </c>
      <c r="G123" s="301">
        <v>72</v>
      </c>
      <c r="H123" s="301">
        <v>61</v>
      </c>
      <c r="I123" s="301">
        <v>9</v>
      </c>
      <c r="J123" s="301">
        <v>18</v>
      </c>
      <c r="K123" s="313">
        <v>47</v>
      </c>
      <c r="L123" s="313">
        <v>48</v>
      </c>
      <c r="M123" s="313">
        <v>62</v>
      </c>
      <c r="N123" s="313">
        <v>33</v>
      </c>
      <c r="O123" s="313">
        <v>68</v>
      </c>
      <c r="P123" s="313">
        <v>38</v>
      </c>
      <c r="Q123" s="308"/>
      <c r="R123" s="314">
        <f>SUM(E123:P123)</f>
        <v>559</v>
      </c>
      <c r="S123" s="487">
        <f>R123/R121</f>
        <v>1.0547169811320756</v>
      </c>
      <c r="T123" s="488">
        <f>R124/R122</f>
        <v>0.85709993247860727</v>
      </c>
      <c r="U123" s="32"/>
    </row>
    <row r="124" spans="1:23" ht="41.25" customHeight="1">
      <c r="A124" s="481"/>
      <c r="B124" s="482"/>
      <c r="C124" s="486"/>
      <c r="D124" s="249" t="s">
        <v>79</v>
      </c>
      <c r="E124" s="305">
        <v>855079.08000000007</v>
      </c>
      <c r="F124" s="305">
        <v>298290.02999999997</v>
      </c>
      <c r="G124" s="305">
        <v>1061516.8799999999</v>
      </c>
      <c r="H124" s="305">
        <v>97290.34</v>
      </c>
      <c r="I124" s="305">
        <v>417320.52</v>
      </c>
      <c r="J124" s="305">
        <v>217263.44</v>
      </c>
      <c r="K124" s="305">
        <v>218976.81</v>
      </c>
      <c r="L124" s="305">
        <v>90241.67</v>
      </c>
      <c r="M124" s="305">
        <v>228539.84</v>
      </c>
      <c r="N124" s="305">
        <v>115886.79</v>
      </c>
      <c r="O124" s="305">
        <v>86396.03</v>
      </c>
      <c r="P124" s="305">
        <v>298377.17000000004</v>
      </c>
      <c r="Q124" s="308"/>
      <c r="R124" s="306">
        <f t="shared" si="9"/>
        <v>3985178.5999999996</v>
      </c>
      <c r="S124" s="487"/>
      <c r="T124" s="488"/>
      <c r="U124" s="32"/>
    </row>
    <row r="125" spans="1:23" ht="41.25" customHeight="1">
      <c r="A125" s="481">
        <v>14</v>
      </c>
      <c r="B125" s="482" t="s">
        <v>13</v>
      </c>
      <c r="C125" s="483" t="s">
        <v>246</v>
      </c>
      <c r="D125" s="254" t="s">
        <v>86</v>
      </c>
      <c r="E125" s="315">
        <v>60</v>
      </c>
      <c r="F125" s="315">
        <v>60</v>
      </c>
      <c r="G125" s="315">
        <v>60</v>
      </c>
      <c r="H125" s="315">
        <v>60</v>
      </c>
      <c r="I125" s="315">
        <v>60</v>
      </c>
      <c r="J125" s="315">
        <v>60</v>
      </c>
      <c r="K125" s="315">
        <v>45</v>
      </c>
      <c r="L125" s="315">
        <v>45</v>
      </c>
      <c r="M125" s="315">
        <v>45</v>
      </c>
      <c r="N125" s="315">
        <v>45</v>
      </c>
      <c r="O125" s="315">
        <v>45</v>
      </c>
      <c r="P125" s="315">
        <v>45</v>
      </c>
      <c r="Q125" s="484">
        <v>7836</v>
      </c>
      <c r="R125" s="315">
        <f t="shared" si="9"/>
        <v>630</v>
      </c>
      <c r="S125" s="485" t="s">
        <v>14</v>
      </c>
      <c r="T125" s="485" t="s">
        <v>78</v>
      </c>
      <c r="U125" s="32"/>
    </row>
    <row r="126" spans="1:23" ht="41.25" customHeight="1">
      <c r="A126" s="481"/>
      <c r="B126" s="482"/>
      <c r="C126" s="483"/>
      <c r="D126" s="254" t="s">
        <v>79</v>
      </c>
      <c r="E126" s="300">
        <v>183509.49</v>
      </c>
      <c r="F126" s="300">
        <v>158663.19999999998</v>
      </c>
      <c r="G126" s="300">
        <v>163704.01999999999</v>
      </c>
      <c r="H126" s="300">
        <v>163761.54</v>
      </c>
      <c r="I126" s="300">
        <v>181188.74</v>
      </c>
      <c r="J126" s="300">
        <v>165136.34</v>
      </c>
      <c r="K126" s="300">
        <v>163901.54000000004</v>
      </c>
      <c r="L126" s="300">
        <v>163901.54000000004</v>
      </c>
      <c r="M126" s="300">
        <v>170773.74000000005</v>
      </c>
      <c r="N126" s="300">
        <v>175599.97</v>
      </c>
      <c r="O126" s="300">
        <v>232744.47</v>
      </c>
      <c r="P126" s="300">
        <v>508180.93</v>
      </c>
      <c r="Q126" s="484"/>
      <c r="R126" s="300">
        <f t="shared" si="9"/>
        <v>2431065.52</v>
      </c>
      <c r="S126" s="485"/>
      <c r="T126" s="485"/>
      <c r="U126" s="32"/>
    </row>
    <row r="127" spans="1:23" ht="41.25" customHeight="1">
      <c r="A127" s="481"/>
      <c r="B127" s="482"/>
      <c r="C127" s="486" t="s">
        <v>45</v>
      </c>
      <c r="D127" s="249" t="str">
        <f>D125</f>
        <v>Requisiciones</v>
      </c>
      <c r="E127" s="301">
        <v>22</v>
      </c>
      <c r="F127" s="301">
        <v>104</v>
      </c>
      <c r="G127" s="301">
        <v>80</v>
      </c>
      <c r="H127" s="301">
        <v>27</v>
      </c>
      <c r="I127" s="301">
        <v>66</v>
      </c>
      <c r="J127" s="301">
        <v>70</v>
      </c>
      <c r="K127" s="313">
        <v>106</v>
      </c>
      <c r="L127" s="313">
        <v>32</v>
      </c>
      <c r="M127" s="313">
        <v>26</v>
      </c>
      <c r="N127" s="313">
        <v>53</v>
      </c>
      <c r="O127" s="313">
        <v>35</v>
      </c>
      <c r="P127" s="313">
        <v>21</v>
      </c>
      <c r="Q127" s="308"/>
      <c r="R127" s="311">
        <f t="shared" si="9"/>
        <v>642</v>
      </c>
      <c r="S127" s="487">
        <f>R127/R125</f>
        <v>1.019047619047619</v>
      </c>
      <c r="T127" s="488">
        <f>R128/R126</f>
        <v>0.86666625505017247</v>
      </c>
      <c r="U127" s="32"/>
    </row>
    <row r="128" spans="1:23" ht="41.25" customHeight="1">
      <c r="A128" s="481"/>
      <c r="B128" s="482"/>
      <c r="C128" s="486"/>
      <c r="D128" s="249" t="s">
        <v>79</v>
      </c>
      <c r="E128" s="305">
        <v>183509.49</v>
      </c>
      <c r="F128" s="305">
        <v>158663.19999999998</v>
      </c>
      <c r="G128" s="305">
        <v>163704.01999999999</v>
      </c>
      <c r="H128" s="305">
        <v>163761.54</v>
      </c>
      <c r="I128" s="305">
        <v>181188.74</v>
      </c>
      <c r="J128" s="305">
        <v>165136.34</v>
      </c>
      <c r="K128" s="305">
        <v>163901.54000000004</v>
      </c>
      <c r="L128" s="305">
        <v>163901.54000000004</v>
      </c>
      <c r="M128" s="305">
        <v>170773.74000000005</v>
      </c>
      <c r="N128" s="305">
        <v>175599.97</v>
      </c>
      <c r="O128" s="305">
        <v>232744.47</v>
      </c>
      <c r="P128" s="305">
        <v>184037.86000000002</v>
      </c>
      <c r="Q128" s="308"/>
      <c r="R128" s="306">
        <f t="shared" si="9"/>
        <v>2106922.4500000002</v>
      </c>
      <c r="S128" s="487"/>
      <c r="T128" s="488"/>
      <c r="U128" s="32"/>
    </row>
    <row r="129" spans="1:23" ht="41.25" customHeight="1">
      <c r="A129" s="481">
        <v>15</v>
      </c>
      <c r="B129" s="482" t="s">
        <v>65</v>
      </c>
      <c r="C129" s="483" t="s">
        <v>246</v>
      </c>
      <c r="D129" s="254" t="s">
        <v>94</v>
      </c>
      <c r="E129" s="300"/>
      <c r="F129" s="300"/>
      <c r="G129" s="315">
        <v>1</v>
      </c>
      <c r="H129" s="315"/>
      <c r="I129" s="315"/>
      <c r="J129" s="315">
        <v>1</v>
      </c>
      <c r="K129" s="315"/>
      <c r="L129" s="315"/>
      <c r="M129" s="315">
        <v>1</v>
      </c>
      <c r="N129" s="315"/>
      <c r="O129" s="315"/>
      <c r="P129" s="315">
        <v>1</v>
      </c>
      <c r="Q129" s="484">
        <v>7836</v>
      </c>
      <c r="R129" s="315">
        <f t="shared" si="9"/>
        <v>4</v>
      </c>
      <c r="S129" s="485" t="s">
        <v>103</v>
      </c>
      <c r="T129" s="485" t="s">
        <v>78</v>
      </c>
      <c r="U129" s="32"/>
    </row>
    <row r="130" spans="1:23" ht="41.25" customHeight="1">
      <c r="A130" s="481"/>
      <c r="B130" s="482"/>
      <c r="C130" s="483"/>
      <c r="D130" s="254" t="s">
        <v>79</v>
      </c>
      <c r="E130" s="300"/>
      <c r="F130" s="300"/>
      <c r="G130" s="300">
        <v>18755.12</v>
      </c>
      <c r="H130" s="300"/>
      <c r="I130" s="300"/>
      <c r="J130" s="300">
        <v>26991.25</v>
      </c>
      <c r="K130" s="300"/>
      <c r="L130" s="300"/>
      <c r="M130" s="300">
        <v>13582.02</v>
      </c>
      <c r="N130" s="300"/>
      <c r="O130" s="300"/>
      <c r="P130" s="300">
        <v>130963.43</v>
      </c>
      <c r="Q130" s="484"/>
      <c r="R130" s="300">
        <f t="shared" si="9"/>
        <v>190291.82</v>
      </c>
      <c r="S130" s="485"/>
      <c r="T130" s="485"/>
      <c r="U130" s="32"/>
    </row>
    <row r="131" spans="1:23" ht="41.25" customHeight="1">
      <c r="A131" s="481"/>
      <c r="B131" s="482"/>
      <c r="C131" s="486" t="s">
        <v>45</v>
      </c>
      <c r="D131" s="249" t="str">
        <f>D129</f>
        <v>Padron de Proveedores</v>
      </c>
      <c r="E131" s="305"/>
      <c r="F131" s="305"/>
      <c r="G131" s="316">
        <v>1</v>
      </c>
      <c r="H131" s="305"/>
      <c r="I131" s="305"/>
      <c r="J131" s="314">
        <v>1</v>
      </c>
      <c r="K131" s="305"/>
      <c r="L131" s="305"/>
      <c r="M131" s="314">
        <v>1</v>
      </c>
      <c r="N131" s="305"/>
      <c r="O131" s="305"/>
      <c r="P131" s="314">
        <v>1</v>
      </c>
      <c r="Q131" s="303"/>
      <c r="R131" s="311">
        <f t="shared" si="9"/>
        <v>4</v>
      </c>
      <c r="S131" s="487">
        <f>R131/R129</f>
        <v>1</v>
      </c>
      <c r="T131" s="488">
        <f>R132/R130</f>
        <v>0.44372590477089346</v>
      </c>
      <c r="U131" s="32"/>
    </row>
    <row r="132" spans="1:23" ht="41.25" customHeight="1">
      <c r="A132" s="481"/>
      <c r="B132" s="482"/>
      <c r="C132" s="486"/>
      <c r="D132" s="249" t="s">
        <v>79</v>
      </c>
      <c r="E132" s="305"/>
      <c r="F132" s="305"/>
      <c r="G132" s="305">
        <v>18755.12</v>
      </c>
      <c r="H132" s="305"/>
      <c r="I132" s="305"/>
      <c r="J132" s="305">
        <v>26991.25</v>
      </c>
      <c r="K132" s="305"/>
      <c r="L132" s="305"/>
      <c r="M132" s="305">
        <v>13582.02</v>
      </c>
      <c r="N132" s="305"/>
      <c r="O132" s="305"/>
      <c r="P132" s="305">
        <v>25109.02</v>
      </c>
      <c r="Q132" s="303"/>
      <c r="R132" s="306">
        <f t="shared" si="9"/>
        <v>84437.41</v>
      </c>
      <c r="S132" s="487"/>
      <c r="T132" s="488"/>
      <c r="U132" s="32"/>
    </row>
    <row r="133" spans="1:23" ht="41.25" customHeight="1">
      <c r="A133" s="481">
        <v>16</v>
      </c>
      <c r="B133" s="482" t="s">
        <v>58</v>
      </c>
      <c r="C133" s="483" t="s">
        <v>246</v>
      </c>
      <c r="D133" s="254" t="s">
        <v>16</v>
      </c>
      <c r="E133" s="298"/>
      <c r="F133" s="298"/>
      <c r="G133" s="298"/>
      <c r="H133" s="298"/>
      <c r="I133" s="298"/>
      <c r="J133" s="298">
        <v>1</v>
      </c>
      <c r="K133" s="298"/>
      <c r="L133" s="298"/>
      <c r="M133" s="298"/>
      <c r="N133" s="298"/>
      <c r="O133" s="298"/>
      <c r="P133" s="298">
        <v>1</v>
      </c>
      <c r="Q133" s="484">
        <v>7836</v>
      </c>
      <c r="R133" s="307">
        <f t="shared" si="9"/>
        <v>2</v>
      </c>
      <c r="S133" s="485" t="s">
        <v>15</v>
      </c>
      <c r="T133" s="485" t="s">
        <v>78</v>
      </c>
      <c r="U133" s="32">
        <v>3057894.98</v>
      </c>
      <c r="W133" s="34">
        <f>R134-U133</f>
        <v>809752.44999999972</v>
      </c>
    </row>
    <row r="134" spans="1:23" ht="41.25" customHeight="1">
      <c r="A134" s="481"/>
      <c r="B134" s="482"/>
      <c r="C134" s="483"/>
      <c r="D134" s="254" t="s">
        <v>79</v>
      </c>
      <c r="E134" s="299">
        <v>249041.44999999995</v>
      </c>
      <c r="F134" s="299">
        <v>283825.54999999993</v>
      </c>
      <c r="G134" s="299">
        <v>277106.78000000003</v>
      </c>
      <c r="H134" s="299">
        <v>270125.36</v>
      </c>
      <c r="I134" s="299">
        <v>286670.56</v>
      </c>
      <c r="J134" s="299">
        <v>311755.96000000002</v>
      </c>
      <c r="K134" s="299">
        <v>271368.49000000011</v>
      </c>
      <c r="L134" s="299">
        <v>278096.3600000001</v>
      </c>
      <c r="M134" s="299">
        <v>272549.71000000008</v>
      </c>
      <c r="N134" s="299">
        <v>308474.96000000002</v>
      </c>
      <c r="O134" s="299">
        <v>345819.13</v>
      </c>
      <c r="P134" s="299">
        <v>712813.12</v>
      </c>
      <c r="Q134" s="484"/>
      <c r="R134" s="300">
        <f>SUM(E134:P134)</f>
        <v>3867647.4299999997</v>
      </c>
      <c r="S134" s="485"/>
      <c r="T134" s="485"/>
      <c r="U134" s="32"/>
    </row>
    <row r="135" spans="1:23" ht="41.25" customHeight="1">
      <c r="A135" s="481"/>
      <c r="B135" s="482"/>
      <c r="C135" s="486" t="s">
        <v>45</v>
      </c>
      <c r="D135" s="249" t="s">
        <v>16</v>
      </c>
      <c r="E135" s="317"/>
      <c r="F135" s="317"/>
      <c r="G135" s="317"/>
      <c r="H135" s="302"/>
      <c r="I135" s="302"/>
      <c r="J135" s="318">
        <v>1</v>
      </c>
      <c r="K135" s="302"/>
      <c r="L135" s="302"/>
      <c r="M135" s="302"/>
      <c r="N135" s="302"/>
      <c r="O135" s="302"/>
      <c r="P135" s="301">
        <v>1</v>
      </c>
      <c r="Q135" s="303"/>
      <c r="R135" s="304">
        <f>SUM(E135:P135)</f>
        <v>2</v>
      </c>
      <c r="S135" s="487">
        <f>R135/R133</f>
        <v>1</v>
      </c>
      <c r="T135" s="488">
        <f>R136/R134</f>
        <v>0.94483435632083967</v>
      </c>
      <c r="U135" s="32"/>
    </row>
    <row r="136" spans="1:23" ht="41.25" customHeight="1">
      <c r="A136" s="481"/>
      <c r="B136" s="482"/>
      <c r="C136" s="486"/>
      <c r="D136" s="249" t="s">
        <v>79</v>
      </c>
      <c r="E136" s="305">
        <v>249041.44999999995</v>
      </c>
      <c r="F136" s="305">
        <v>283825.54999999993</v>
      </c>
      <c r="G136" s="305">
        <v>277106.78000000003</v>
      </c>
      <c r="H136" s="305">
        <v>270125.36</v>
      </c>
      <c r="I136" s="305">
        <v>286670.56</v>
      </c>
      <c r="J136" s="305">
        <v>311755.96000000002</v>
      </c>
      <c r="K136" s="305">
        <v>271368.49000000011</v>
      </c>
      <c r="L136" s="305">
        <v>278096.3600000001</v>
      </c>
      <c r="M136" s="305">
        <v>272549.71000000008</v>
      </c>
      <c r="N136" s="305">
        <v>308474.96000000002</v>
      </c>
      <c r="O136" s="305">
        <v>345819.13</v>
      </c>
      <c r="P136" s="305">
        <v>499451.86000000004</v>
      </c>
      <c r="Q136" s="303"/>
      <c r="R136" s="306">
        <f t="shared" si="9"/>
        <v>3654286.1699999995</v>
      </c>
      <c r="S136" s="487"/>
      <c r="T136" s="488"/>
      <c r="U136" s="32"/>
    </row>
    <row r="137" spans="1:23" ht="58.5" customHeight="1">
      <c r="A137" s="474" t="s">
        <v>311</v>
      </c>
      <c r="B137" s="474"/>
      <c r="C137" s="475" t="s">
        <v>31</v>
      </c>
      <c r="D137" s="255" t="s">
        <v>88</v>
      </c>
      <c r="E137" s="256">
        <f>E73+E77+E81+E85+E89+E93+E97+E101+E105+E109+E113+E133+E117+E121+E125+E129</f>
        <v>1156</v>
      </c>
      <c r="F137" s="256">
        <f t="shared" ref="F137:O137" si="10">F73+F77+F81+F85+F89+F93+F97+F101+F105+F109+F113+F133+F117+F121+F125+F129</f>
        <v>1193</v>
      </c>
      <c r="G137" s="256">
        <f t="shared" si="10"/>
        <v>1205</v>
      </c>
      <c r="H137" s="256">
        <f t="shared" si="10"/>
        <v>847</v>
      </c>
      <c r="I137" s="256">
        <f t="shared" si="10"/>
        <v>801</v>
      </c>
      <c r="J137" s="256">
        <f t="shared" si="10"/>
        <v>861</v>
      </c>
      <c r="K137" s="256">
        <f t="shared" si="10"/>
        <v>896</v>
      </c>
      <c r="L137" s="256">
        <f t="shared" si="10"/>
        <v>894</v>
      </c>
      <c r="M137" s="256">
        <f t="shared" si="10"/>
        <v>908</v>
      </c>
      <c r="N137" s="256">
        <f t="shared" si="10"/>
        <v>900</v>
      </c>
      <c r="O137" s="256">
        <f t="shared" si="10"/>
        <v>1048</v>
      </c>
      <c r="P137" s="256">
        <f>P73+P77+P81+P85+P89+P93+P97+P101+P105+P109+P113+P133+P117+P121+P125+P129</f>
        <v>1161</v>
      </c>
      <c r="Q137" s="476"/>
      <c r="R137" s="256">
        <f>R73+R77+R81+R85+R89+R93+R97+R101+R105+R109+R113+R133+R117+R121+R125+R129</f>
        <v>11870</v>
      </c>
      <c r="S137" s="477" t="s">
        <v>89</v>
      </c>
      <c r="T137" s="477" t="s">
        <v>90</v>
      </c>
      <c r="U137" s="52"/>
    </row>
    <row r="138" spans="1:23" ht="58.5" customHeight="1">
      <c r="A138" s="474"/>
      <c r="B138" s="474"/>
      <c r="C138" s="475"/>
      <c r="D138" s="255" t="s">
        <v>79</v>
      </c>
      <c r="E138" s="257">
        <f t="shared" ref="E138:P140" si="11">E74+E78+E82+E86+E90+E94+E98+E102+E106+E110+E114+E118+E122+E126+E130+E134</f>
        <v>43514740.840000026</v>
      </c>
      <c r="F138" s="257">
        <f t="shared" si="11"/>
        <v>33433519.379999999</v>
      </c>
      <c r="G138" s="257">
        <f t="shared" si="11"/>
        <v>19217498.569999997</v>
      </c>
      <c r="H138" s="257">
        <f t="shared" si="11"/>
        <v>7567180.7300000004</v>
      </c>
      <c r="I138" s="257">
        <f t="shared" si="11"/>
        <v>8640308.4299999997</v>
      </c>
      <c r="J138" s="257">
        <f t="shared" si="11"/>
        <v>8677027.0099999998</v>
      </c>
      <c r="K138" s="257">
        <f>K74+K78+K82+K86+K90+K94+K98+K102+K106+K110+K114+K118+K122+K126+K130+K134</f>
        <v>9438699.6300000008</v>
      </c>
      <c r="L138" s="257">
        <f t="shared" si="11"/>
        <v>8451852.2800000012</v>
      </c>
      <c r="M138" s="257">
        <f t="shared" si="11"/>
        <v>8234017.25</v>
      </c>
      <c r="N138" s="257">
        <f t="shared" si="11"/>
        <v>8379983.1399999997</v>
      </c>
      <c r="O138" s="257">
        <f t="shared" si="11"/>
        <v>8291985.6299999999</v>
      </c>
      <c r="P138" s="257">
        <f t="shared" si="11"/>
        <v>31065575.740000002</v>
      </c>
      <c r="Q138" s="476"/>
      <c r="R138" s="257">
        <f>R74+R78+R82+R86+R90+R94+R98+R102+R106+R110+R114+R118+R122+R126+R130+R134</f>
        <v>194912388.63000003</v>
      </c>
      <c r="S138" s="477"/>
      <c r="T138" s="477"/>
      <c r="U138" s="52">
        <f>SUM(U74:U137)</f>
        <v>162005575.91999999</v>
      </c>
      <c r="W138" s="52">
        <f>SUM(W74:W137)</f>
        <v>7644836.9700000118</v>
      </c>
    </row>
    <row r="139" spans="1:23" ht="58.5" customHeight="1">
      <c r="A139" s="474"/>
      <c r="B139" s="474"/>
      <c r="C139" s="478" t="s">
        <v>45</v>
      </c>
      <c r="D139" s="258" t="s">
        <v>88</v>
      </c>
      <c r="E139" s="259">
        <f t="shared" si="11"/>
        <v>1214</v>
      </c>
      <c r="F139" s="259">
        <f t="shared" si="11"/>
        <v>1272</v>
      </c>
      <c r="G139" s="259">
        <f t="shared" si="11"/>
        <v>1191</v>
      </c>
      <c r="H139" s="259">
        <f t="shared" si="11"/>
        <v>683</v>
      </c>
      <c r="I139" s="259">
        <f t="shared" si="11"/>
        <v>801</v>
      </c>
      <c r="J139" s="259">
        <f t="shared" si="11"/>
        <v>832</v>
      </c>
      <c r="K139" s="259">
        <f t="shared" si="11"/>
        <v>1022</v>
      </c>
      <c r="L139" s="259">
        <f t="shared" si="11"/>
        <v>824</v>
      </c>
      <c r="M139" s="259">
        <f>M75+M79+M83+M87+M91+M95+M99+M103+M107+M111+M115+M119+M123+M127+M131+M135</f>
        <v>994</v>
      </c>
      <c r="N139" s="259">
        <f t="shared" si="11"/>
        <v>880</v>
      </c>
      <c r="O139" s="259">
        <f t="shared" si="11"/>
        <v>995</v>
      </c>
      <c r="P139" s="259">
        <f>P75+P79+P83+P87+P91+P95+P99+P103+P107+P111+P115+P119+P123+P127+P131+P135</f>
        <v>902</v>
      </c>
      <c r="Q139" s="262"/>
      <c r="R139" s="259">
        <f>R75+R79+R83+R87+R91+R95+R99+R103+R107+R111+R115+R119+R123+R127+R131+R135</f>
        <v>11610</v>
      </c>
      <c r="S139" s="479">
        <f>R139/R137</f>
        <v>0.97809604043807918</v>
      </c>
      <c r="T139" s="480">
        <f>R140/R138</f>
        <v>0.90008096562312345</v>
      </c>
      <c r="U139" s="32"/>
    </row>
    <row r="140" spans="1:23" ht="58.5" customHeight="1">
      <c r="A140" s="474"/>
      <c r="B140" s="474"/>
      <c r="C140" s="478"/>
      <c r="D140" s="258" t="s">
        <v>79</v>
      </c>
      <c r="E140" s="260">
        <f>E76+E80+E84+E88+E92+E96+E100+E104+E108+E112+E116+E120+E124+E128+E132+E136</f>
        <v>43514740.840000026</v>
      </c>
      <c r="F140" s="260">
        <f>F76+F80+F84+F88+F92+F96+F100+F104+F108+F112+F116+F120+F124+F128+F132+F136</f>
        <v>33433519.379999999</v>
      </c>
      <c r="G140" s="260">
        <f t="shared" si="11"/>
        <v>19217498.569999997</v>
      </c>
      <c r="H140" s="260">
        <f t="shared" si="11"/>
        <v>7567180.7300000004</v>
      </c>
      <c r="I140" s="260">
        <f t="shared" si="11"/>
        <v>8640308.4299999997</v>
      </c>
      <c r="J140" s="260">
        <f>J76+J80+J84+J88+J92+J96+J100+J104+J108+J112+J116+J120+J124+J128+J132+J136</f>
        <v>8677027.0099999998</v>
      </c>
      <c r="K140" s="260">
        <f t="shared" si="11"/>
        <v>9438699.6300000008</v>
      </c>
      <c r="L140" s="260">
        <f t="shared" si="11"/>
        <v>8451852.2800000012</v>
      </c>
      <c r="M140" s="260">
        <f t="shared" si="11"/>
        <v>8234017.25</v>
      </c>
      <c r="N140" s="260">
        <f t="shared" si="11"/>
        <v>8379983.1399999997</v>
      </c>
      <c r="O140" s="260">
        <f t="shared" si="11"/>
        <v>8291985.6299999999</v>
      </c>
      <c r="P140" s="260">
        <f t="shared" si="11"/>
        <v>11590118.079999998</v>
      </c>
      <c r="Q140" s="260"/>
      <c r="R140" s="261">
        <f>R76+R80+R84+R88+R92+R96+R100+R104+R108+R112+R116+R136+R120+R124+R128+R132</f>
        <v>175436930.96999994</v>
      </c>
      <c r="S140" s="479"/>
      <c r="T140" s="480"/>
      <c r="U140" s="32"/>
    </row>
    <row r="141" spans="1:23" s="13" customFormat="1" ht="40.9" customHeight="1">
      <c r="A141" s="401" t="s">
        <v>431</v>
      </c>
      <c r="B141" s="402"/>
      <c r="C141" s="402"/>
      <c r="D141" s="402"/>
      <c r="E141" s="402"/>
      <c r="F141" s="402"/>
      <c r="G141" s="402"/>
      <c r="H141" s="402"/>
      <c r="I141" s="402"/>
      <c r="J141" s="402"/>
      <c r="K141" s="402"/>
      <c r="L141" s="402"/>
      <c r="M141" s="402"/>
      <c r="N141" s="402"/>
      <c r="O141" s="402"/>
      <c r="P141" s="402"/>
      <c r="Q141" s="402"/>
      <c r="R141" s="402"/>
      <c r="S141" s="402"/>
      <c r="T141" s="403"/>
      <c r="U141" s="12"/>
    </row>
    <row r="142" spans="1:23" ht="18">
      <c r="A142" s="404" t="s">
        <v>66</v>
      </c>
      <c r="B142" s="404"/>
      <c r="C142" s="404"/>
      <c r="D142" s="404"/>
      <c r="E142" s="404"/>
      <c r="F142" s="404"/>
      <c r="G142" s="404"/>
      <c r="H142" s="404"/>
      <c r="I142" s="404"/>
      <c r="J142" s="404"/>
      <c r="K142" s="404" t="s">
        <v>67</v>
      </c>
      <c r="L142" s="404"/>
      <c r="M142" s="404"/>
      <c r="N142" s="404"/>
      <c r="O142" s="404"/>
      <c r="P142" s="404"/>
      <c r="Q142" s="404"/>
      <c r="R142" s="404"/>
      <c r="S142" s="404"/>
      <c r="T142" s="404"/>
    </row>
    <row r="143" spans="1:23" ht="32.450000000000003" customHeight="1">
      <c r="A143" s="451" t="s">
        <v>437</v>
      </c>
      <c r="B143" s="451"/>
      <c r="C143" s="451"/>
      <c r="D143" s="451"/>
      <c r="E143" s="451"/>
      <c r="F143" s="451"/>
      <c r="G143" s="451"/>
      <c r="H143" s="451"/>
      <c r="I143" s="451"/>
      <c r="J143" s="451"/>
      <c r="K143" s="406" t="s">
        <v>26</v>
      </c>
      <c r="L143" s="406"/>
      <c r="M143" s="406"/>
      <c r="N143" s="406"/>
      <c r="O143" s="406"/>
      <c r="P143" s="406"/>
      <c r="Q143" s="406"/>
      <c r="R143" s="406"/>
      <c r="S143" s="406"/>
      <c r="T143" s="406"/>
    </row>
    <row r="144" spans="1:23" ht="18">
      <c r="A144" s="404" t="s">
        <v>69</v>
      </c>
      <c r="B144" s="404"/>
      <c r="C144" s="404"/>
      <c r="D144" s="404" t="s">
        <v>70</v>
      </c>
      <c r="E144" s="404"/>
      <c r="F144" s="404"/>
      <c r="G144" s="404"/>
      <c r="H144" s="404"/>
      <c r="I144" s="404"/>
      <c r="J144" s="404"/>
      <c r="K144" s="404"/>
      <c r="L144" s="404"/>
      <c r="M144" s="404"/>
      <c r="N144" s="404"/>
      <c r="O144" s="404"/>
      <c r="P144" s="404"/>
      <c r="Q144" s="404"/>
      <c r="R144" s="404"/>
      <c r="S144" s="404"/>
      <c r="T144" s="404"/>
    </row>
    <row r="145" spans="1:20" ht="207" customHeight="1">
      <c r="A145" s="472" t="s">
        <v>27</v>
      </c>
      <c r="B145" s="472"/>
      <c r="C145" s="472"/>
      <c r="D145" s="473" t="s">
        <v>440</v>
      </c>
      <c r="E145" s="473"/>
      <c r="F145" s="473"/>
      <c r="G145" s="473"/>
      <c r="H145" s="473"/>
      <c r="I145" s="473"/>
      <c r="J145" s="473"/>
      <c r="K145" s="473"/>
      <c r="L145" s="473"/>
      <c r="M145" s="473"/>
      <c r="N145" s="473"/>
      <c r="O145" s="473"/>
      <c r="P145" s="473"/>
      <c r="Q145" s="473"/>
      <c r="R145" s="473"/>
      <c r="S145" s="473"/>
      <c r="T145" s="473"/>
    </row>
    <row r="146" spans="1:20">
      <c r="A146" s="399" t="s">
        <v>17</v>
      </c>
      <c r="B146" s="399"/>
      <c r="C146" s="399"/>
      <c r="D146" s="399"/>
      <c r="E146" s="399"/>
      <c r="F146" s="399"/>
      <c r="G146" s="399"/>
      <c r="H146" s="399"/>
      <c r="I146" s="399"/>
      <c r="J146" s="399"/>
      <c r="K146" s="399"/>
      <c r="L146" s="399"/>
      <c r="M146" s="399"/>
      <c r="N146" s="399"/>
      <c r="O146" s="399"/>
      <c r="P146" s="399"/>
      <c r="Q146" s="399"/>
      <c r="R146" s="399"/>
      <c r="S146" s="399"/>
      <c r="T146" s="399"/>
    </row>
    <row r="147" spans="1:20" ht="18">
      <c r="A147" s="426" t="s">
        <v>18</v>
      </c>
      <c r="B147" s="426"/>
      <c r="C147" s="426"/>
      <c r="D147" s="426"/>
      <c r="E147" s="426" t="s">
        <v>20</v>
      </c>
      <c r="F147" s="426"/>
      <c r="G147" s="426"/>
      <c r="H147" s="426"/>
      <c r="I147" s="426" t="s">
        <v>22</v>
      </c>
      <c r="J147" s="426"/>
      <c r="K147" s="426"/>
      <c r="L147" s="426"/>
      <c r="M147" s="426"/>
      <c r="N147" s="426"/>
      <c r="O147" s="426"/>
      <c r="P147" s="426"/>
      <c r="Q147" s="426" t="s">
        <v>24</v>
      </c>
      <c r="R147" s="426"/>
      <c r="S147" s="426"/>
      <c r="T147" s="426"/>
    </row>
    <row r="148" spans="1:20" ht="17.45" customHeight="1">
      <c r="A148" s="421" t="s">
        <v>19</v>
      </c>
      <c r="B148" s="421"/>
      <c r="C148" s="421"/>
      <c r="D148" s="421"/>
      <c r="E148" s="422" t="s">
        <v>21</v>
      </c>
      <c r="F148" s="422"/>
      <c r="G148" s="422"/>
      <c r="H148" s="422"/>
      <c r="I148" s="421" t="s">
        <v>23</v>
      </c>
      <c r="J148" s="421"/>
      <c r="K148" s="421"/>
      <c r="L148" s="421"/>
      <c r="M148" s="421"/>
      <c r="N148" s="421"/>
      <c r="O148" s="421"/>
      <c r="P148" s="421"/>
      <c r="Q148" s="421" t="s">
        <v>25</v>
      </c>
      <c r="R148" s="421"/>
      <c r="S148" s="421"/>
      <c r="T148" s="421"/>
    </row>
    <row r="149" spans="1:20" ht="18" customHeight="1">
      <c r="A149" s="397" t="s">
        <v>72</v>
      </c>
      <c r="B149" s="470" t="s">
        <v>73</v>
      </c>
      <c r="C149" s="471" t="s">
        <v>46</v>
      </c>
      <c r="D149" s="397" t="s">
        <v>28</v>
      </c>
      <c r="E149" s="424" t="s">
        <v>33</v>
      </c>
      <c r="F149" s="424" t="s">
        <v>34</v>
      </c>
      <c r="G149" s="424" t="s">
        <v>35</v>
      </c>
      <c r="H149" s="424" t="s">
        <v>36</v>
      </c>
      <c r="I149" s="424" t="s">
        <v>37</v>
      </c>
      <c r="J149" s="424" t="s">
        <v>38</v>
      </c>
      <c r="K149" s="424" t="s">
        <v>39</v>
      </c>
      <c r="L149" s="424" t="s">
        <v>40</v>
      </c>
      <c r="M149" s="424" t="s">
        <v>41</v>
      </c>
      <c r="N149" s="424" t="s">
        <v>47</v>
      </c>
      <c r="O149" s="424" t="s">
        <v>42</v>
      </c>
      <c r="P149" s="424" t="s">
        <v>43</v>
      </c>
      <c r="Q149" s="397" t="s">
        <v>74</v>
      </c>
      <c r="R149" s="397" t="s">
        <v>75</v>
      </c>
      <c r="S149" s="397" t="s">
        <v>76</v>
      </c>
      <c r="T149" s="397"/>
    </row>
    <row r="150" spans="1:20" ht="18.600000000000001" customHeight="1">
      <c r="A150" s="397"/>
      <c r="B150" s="470"/>
      <c r="C150" s="471"/>
      <c r="D150" s="397"/>
      <c r="E150" s="424"/>
      <c r="F150" s="424"/>
      <c r="G150" s="424"/>
      <c r="H150" s="424"/>
      <c r="I150" s="424"/>
      <c r="J150" s="424"/>
      <c r="K150" s="424"/>
      <c r="L150" s="424"/>
      <c r="M150" s="424"/>
      <c r="N150" s="424"/>
      <c r="O150" s="424"/>
      <c r="P150" s="424"/>
      <c r="Q150" s="397"/>
      <c r="R150" s="397"/>
      <c r="S150" s="280" t="s">
        <v>30</v>
      </c>
      <c r="T150" s="280" t="s">
        <v>77</v>
      </c>
    </row>
    <row r="151" spans="1:20" ht="20.45" customHeight="1">
      <c r="A151" s="459">
        <v>1</v>
      </c>
      <c r="B151" s="460" t="s">
        <v>455</v>
      </c>
      <c r="C151" s="461" t="s">
        <v>31</v>
      </c>
      <c r="D151" s="358" t="s">
        <v>348</v>
      </c>
      <c r="E151" s="319">
        <v>10</v>
      </c>
      <c r="F151" s="319">
        <v>10</v>
      </c>
      <c r="G151" s="319">
        <v>10</v>
      </c>
      <c r="H151" s="319">
        <v>10</v>
      </c>
      <c r="I151" s="319">
        <v>10</v>
      </c>
      <c r="J151" s="319">
        <v>10</v>
      </c>
      <c r="K151" s="319">
        <v>5</v>
      </c>
      <c r="L151" s="319">
        <v>5</v>
      </c>
      <c r="M151" s="319">
        <v>5</v>
      </c>
      <c r="N151" s="319">
        <v>5</v>
      </c>
      <c r="O151" s="319">
        <v>5</v>
      </c>
      <c r="P151" s="319">
        <v>5</v>
      </c>
      <c r="Q151" s="390">
        <f>R151*4</f>
        <v>360</v>
      </c>
      <c r="R151" s="284">
        <f t="shared" ref="R151:R162" si="12">SUM(E151:P151)</f>
        <v>90</v>
      </c>
      <c r="S151" s="391" t="s">
        <v>356</v>
      </c>
      <c r="T151" s="391" t="s">
        <v>349</v>
      </c>
    </row>
    <row r="152" spans="1:20" ht="15.75">
      <c r="A152" s="459"/>
      <c r="B152" s="460"/>
      <c r="C152" s="461"/>
      <c r="D152" s="358" t="s">
        <v>79</v>
      </c>
      <c r="E152" s="320">
        <v>362722.31999999995</v>
      </c>
      <c r="F152" s="320">
        <v>334268.4800000001</v>
      </c>
      <c r="G152" s="320">
        <v>315890.13</v>
      </c>
      <c r="H152" s="320">
        <v>317039.01</v>
      </c>
      <c r="I152" s="320">
        <v>283332.18999999994</v>
      </c>
      <c r="J152" s="320">
        <v>301273.87</v>
      </c>
      <c r="K152" s="320">
        <v>306970.09999999998</v>
      </c>
      <c r="L152" s="320">
        <v>298833.39999999997</v>
      </c>
      <c r="M152" s="320">
        <v>271264.80000000016</v>
      </c>
      <c r="N152" s="320">
        <v>290242.51000000007</v>
      </c>
      <c r="O152" s="320">
        <v>282244.94</v>
      </c>
      <c r="P152" s="320">
        <v>1433961.15</v>
      </c>
      <c r="Q152" s="390"/>
      <c r="R152" s="320">
        <f t="shared" si="12"/>
        <v>4798042.9000000004</v>
      </c>
      <c r="S152" s="391"/>
      <c r="T152" s="391"/>
    </row>
    <row r="153" spans="1:20" ht="15" customHeight="1">
      <c r="A153" s="459"/>
      <c r="B153" s="460"/>
      <c r="C153" s="462" t="s">
        <v>45</v>
      </c>
      <c r="D153" s="357" t="s">
        <v>348</v>
      </c>
      <c r="E153" s="321">
        <v>7</v>
      </c>
      <c r="F153" s="322">
        <v>6</v>
      </c>
      <c r="G153" s="322">
        <v>6</v>
      </c>
      <c r="H153" s="322">
        <v>6</v>
      </c>
      <c r="I153" s="322">
        <v>5</v>
      </c>
      <c r="J153" s="322">
        <v>4</v>
      </c>
      <c r="K153" s="322">
        <v>5</v>
      </c>
      <c r="L153" s="322">
        <v>8</v>
      </c>
      <c r="M153" s="322">
        <v>7</v>
      </c>
      <c r="N153" s="322">
        <v>7</v>
      </c>
      <c r="O153" s="322">
        <v>6</v>
      </c>
      <c r="P153" s="322">
        <v>10</v>
      </c>
      <c r="Q153" s="394">
        <f>R153*4</f>
        <v>308</v>
      </c>
      <c r="R153" s="287">
        <f t="shared" si="12"/>
        <v>77</v>
      </c>
      <c r="S153" s="393">
        <f>R153/R151</f>
        <v>0.85555555555555551</v>
      </c>
      <c r="T153" s="463">
        <f>R154/R152</f>
        <v>0.81435075121983591</v>
      </c>
    </row>
    <row r="154" spans="1:20" ht="15.75">
      <c r="A154" s="459"/>
      <c r="B154" s="460"/>
      <c r="C154" s="462"/>
      <c r="D154" s="357" t="s">
        <v>79</v>
      </c>
      <c r="E154" s="323">
        <v>362722.31999999995</v>
      </c>
      <c r="F154" s="323">
        <v>334268.4800000001</v>
      </c>
      <c r="G154" s="323">
        <v>315890.13</v>
      </c>
      <c r="H154" s="323">
        <v>317039.01</v>
      </c>
      <c r="I154" s="323">
        <v>283332.18999999994</v>
      </c>
      <c r="J154" s="323">
        <v>301273.87</v>
      </c>
      <c r="K154" s="323">
        <v>306970.09999999998</v>
      </c>
      <c r="L154" s="323">
        <v>298833.39999999997</v>
      </c>
      <c r="M154" s="323">
        <v>271264.80000000016</v>
      </c>
      <c r="N154" s="323">
        <v>290242.51000000007</v>
      </c>
      <c r="O154" s="323">
        <v>282244.94</v>
      </c>
      <c r="P154" s="323">
        <v>543208.09</v>
      </c>
      <c r="Q154" s="394"/>
      <c r="R154" s="323">
        <f t="shared" si="12"/>
        <v>3907289.8400000003</v>
      </c>
      <c r="S154" s="393"/>
      <c r="T154" s="463"/>
    </row>
    <row r="155" spans="1:20" ht="20.45" customHeight="1">
      <c r="A155" s="459">
        <v>2</v>
      </c>
      <c r="B155" s="460" t="s">
        <v>357</v>
      </c>
      <c r="C155" s="461" t="s">
        <v>31</v>
      </c>
      <c r="D155" s="358" t="s">
        <v>83</v>
      </c>
      <c r="E155" s="319">
        <v>5</v>
      </c>
      <c r="F155" s="319">
        <v>5</v>
      </c>
      <c r="G155" s="319">
        <v>5</v>
      </c>
      <c r="H155" s="319">
        <v>5</v>
      </c>
      <c r="I155" s="319">
        <v>5</v>
      </c>
      <c r="J155" s="319">
        <v>5</v>
      </c>
      <c r="K155" s="319">
        <v>5</v>
      </c>
      <c r="L155" s="319">
        <v>5</v>
      </c>
      <c r="M155" s="319">
        <v>5</v>
      </c>
      <c r="N155" s="319">
        <v>5</v>
      </c>
      <c r="O155" s="319">
        <v>5</v>
      </c>
      <c r="P155" s="319">
        <v>5</v>
      </c>
      <c r="Q155" s="390">
        <f>P155*4</f>
        <v>20</v>
      </c>
      <c r="R155" s="284">
        <f>SUM(E155:P155)</f>
        <v>60</v>
      </c>
      <c r="S155" s="391" t="s">
        <v>447</v>
      </c>
      <c r="T155" s="391" t="s">
        <v>349</v>
      </c>
    </row>
    <row r="156" spans="1:20" ht="15.75">
      <c r="A156" s="459"/>
      <c r="B156" s="460"/>
      <c r="C156" s="461"/>
      <c r="D156" s="358" t="s">
        <v>79</v>
      </c>
      <c r="E156" s="320">
        <v>152565.41000000006</v>
      </c>
      <c r="F156" s="320">
        <v>148701.04000000004</v>
      </c>
      <c r="G156" s="320">
        <v>167481.17000000004</v>
      </c>
      <c r="H156" s="320">
        <v>169122.75000000003</v>
      </c>
      <c r="I156" s="320">
        <v>200157.65000000005</v>
      </c>
      <c r="J156" s="320">
        <v>186574.85000000003</v>
      </c>
      <c r="K156" s="320">
        <v>182870.44999999998</v>
      </c>
      <c r="L156" s="320">
        <v>182870.44999999998</v>
      </c>
      <c r="M156" s="320">
        <v>183957.31</v>
      </c>
      <c r="N156" s="320">
        <v>191294.71999999994</v>
      </c>
      <c r="O156" s="320">
        <v>182901.49</v>
      </c>
      <c r="P156" s="320">
        <v>386703.73999999976</v>
      </c>
      <c r="Q156" s="390"/>
      <c r="R156" s="320">
        <f t="shared" si="12"/>
        <v>2335201.0299999998</v>
      </c>
      <c r="S156" s="391"/>
      <c r="T156" s="391"/>
    </row>
    <row r="157" spans="1:20" ht="15" customHeight="1">
      <c r="A157" s="459"/>
      <c r="B157" s="460"/>
      <c r="C157" s="462" t="s">
        <v>45</v>
      </c>
      <c r="D157" s="357" t="s">
        <v>83</v>
      </c>
      <c r="E157" s="321">
        <v>12</v>
      </c>
      <c r="F157" s="322">
        <v>13</v>
      </c>
      <c r="G157" s="322">
        <v>9</v>
      </c>
      <c r="H157" s="322">
        <v>6</v>
      </c>
      <c r="I157" s="322">
        <v>7</v>
      </c>
      <c r="J157" s="322">
        <v>7</v>
      </c>
      <c r="K157" s="322">
        <v>9</v>
      </c>
      <c r="L157" s="322">
        <v>8</v>
      </c>
      <c r="M157" s="322">
        <v>4</v>
      </c>
      <c r="N157" s="322">
        <v>12</v>
      </c>
      <c r="O157" s="322">
        <v>11</v>
      </c>
      <c r="P157" s="322">
        <v>11</v>
      </c>
      <c r="Q157" s="394">
        <f>P157*4</f>
        <v>44</v>
      </c>
      <c r="R157" s="287">
        <f t="shared" si="12"/>
        <v>109</v>
      </c>
      <c r="S157" s="393">
        <f>R157/R155</f>
        <v>1.8166666666666667</v>
      </c>
      <c r="T157" s="463">
        <f>R158/R156</f>
        <v>0.97176742851984788</v>
      </c>
    </row>
    <row r="158" spans="1:20" ht="15.75">
      <c r="A158" s="459"/>
      <c r="B158" s="460"/>
      <c r="C158" s="462"/>
      <c r="D158" s="357" t="s">
        <v>79</v>
      </c>
      <c r="E158" s="323">
        <v>152565.41000000006</v>
      </c>
      <c r="F158" s="323">
        <v>148701.04000000004</v>
      </c>
      <c r="G158" s="323">
        <v>167481.17000000004</v>
      </c>
      <c r="H158" s="323">
        <v>169122.75000000003</v>
      </c>
      <c r="I158" s="323">
        <v>200157.65000000005</v>
      </c>
      <c r="J158" s="323">
        <v>186574.85000000003</v>
      </c>
      <c r="K158" s="323">
        <v>182870.44999999998</v>
      </c>
      <c r="L158" s="323">
        <v>182870.44999999998</v>
      </c>
      <c r="M158" s="323">
        <v>183957.31</v>
      </c>
      <c r="N158" s="323">
        <v>191294.71999999994</v>
      </c>
      <c r="O158" s="323">
        <v>182901.49</v>
      </c>
      <c r="P158" s="323">
        <v>320775.00999999989</v>
      </c>
      <c r="Q158" s="394"/>
      <c r="R158" s="323">
        <f t="shared" si="12"/>
        <v>2269272.2999999998</v>
      </c>
      <c r="S158" s="393"/>
      <c r="T158" s="463"/>
    </row>
    <row r="159" spans="1:20" ht="20.45" customHeight="1">
      <c r="A159" s="459">
        <v>3</v>
      </c>
      <c r="B159" s="460" t="s">
        <v>456</v>
      </c>
      <c r="C159" s="461" t="s">
        <v>31</v>
      </c>
      <c r="D159" s="358" t="s">
        <v>88</v>
      </c>
      <c r="E159" s="319">
        <v>10</v>
      </c>
      <c r="F159" s="319">
        <v>10</v>
      </c>
      <c r="G159" s="319">
        <v>10</v>
      </c>
      <c r="H159" s="319">
        <v>10</v>
      </c>
      <c r="I159" s="319">
        <v>10</v>
      </c>
      <c r="J159" s="319">
        <v>10</v>
      </c>
      <c r="K159" s="319">
        <v>5</v>
      </c>
      <c r="L159" s="319">
        <v>5</v>
      </c>
      <c r="M159" s="319">
        <v>5</v>
      </c>
      <c r="N159" s="319">
        <v>5</v>
      </c>
      <c r="O159" s="319">
        <v>5</v>
      </c>
      <c r="P159" s="319">
        <v>5</v>
      </c>
      <c r="Q159" s="390">
        <v>5</v>
      </c>
      <c r="R159" s="284">
        <f t="shared" si="12"/>
        <v>90</v>
      </c>
      <c r="S159" s="391" t="s">
        <v>448</v>
      </c>
      <c r="T159" s="391" t="s">
        <v>349</v>
      </c>
    </row>
    <row r="160" spans="1:20" ht="15.75">
      <c r="A160" s="459"/>
      <c r="B160" s="460"/>
      <c r="C160" s="461"/>
      <c r="D160" s="358" t="s">
        <v>79</v>
      </c>
      <c r="E160" s="320">
        <v>117165.15000000002</v>
      </c>
      <c r="F160" s="320">
        <v>129864.90999999997</v>
      </c>
      <c r="G160" s="320">
        <v>123950.65</v>
      </c>
      <c r="H160" s="320">
        <v>123233.26000000002</v>
      </c>
      <c r="I160" s="320">
        <v>136565.50000000003</v>
      </c>
      <c r="J160" s="320">
        <v>132658.26</v>
      </c>
      <c r="K160" s="320">
        <v>117882.66000000002</v>
      </c>
      <c r="L160" s="320">
        <v>112268.82</v>
      </c>
      <c r="M160" s="320">
        <v>97520.85000000002</v>
      </c>
      <c r="N160" s="320">
        <v>100511.77000000002</v>
      </c>
      <c r="O160" s="320">
        <v>183244.63</v>
      </c>
      <c r="P160" s="320">
        <v>255428.24000000005</v>
      </c>
      <c r="Q160" s="390"/>
      <c r="R160" s="320">
        <f t="shared" si="12"/>
        <v>1630294.7</v>
      </c>
      <c r="S160" s="391"/>
      <c r="T160" s="391"/>
    </row>
    <row r="161" spans="1:20" ht="15" customHeight="1">
      <c r="A161" s="459"/>
      <c r="B161" s="460"/>
      <c r="C161" s="462" t="s">
        <v>45</v>
      </c>
      <c r="D161" s="357" t="s">
        <v>88</v>
      </c>
      <c r="E161" s="321">
        <v>5</v>
      </c>
      <c r="F161" s="322">
        <v>4</v>
      </c>
      <c r="G161" s="322">
        <v>3</v>
      </c>
      <c r="H161" s="322">
        <v>3</v>
      </c>
      <c r="I161" s="322">
        <v>2</v>
      </c>
      <c r="J161" s="322">
        <v>2</v>
      </c>
      <c r="K161" s="322">
        <v>3</v>
      </c>
      <c r="L161" s="322">
        <v>4</v>
      </c>
      <c r="M161" s="322">
        <v>3</v>
      </c>
      <c r="N161" s="322">
        <v>5</v>
      </c>
      <c r="O161" s="322">
        <v>6</v>
      </c>
      <c r="P161" s="322">
        <v>5</v>
      </c>
      <c r="Q161" s="394">
        <f>P161*4</f>
        <v>20</v>
      </c>
      <c r="R161" s="287">
        <f>SUM(E161:P161)</f>
        <v>45</v>
      </c>
      <c r="S161" s="465">
        <f>R161/R159</f>
        <v>0.5</v>
      </c>
      <c r="T161" s="463">
        <f>R162/R160</f>
        <v>0.92140813559658885</v>
      </c>
    </row>
    <row r="162" spans="1:20" ht="33.75" customHeight="1">
      <c r="A162" s="459"/>
      <c r="B162" s="460"/>
      <c r="C162" s="462"/>
      <c r="D162" s="357" t="s">
        <v>79</v>
      </c>
      <c r="E162" s="323">
        <v>117165.15000000002</v>
      </c>
      <c r="F162" s="323">
        <v>129864.90999999997</v>
      </c>
      <c r="G162" s="323">
        <v>123950.65</v>
      </c>
      <c r="H162" s="323">
        <v>123233.26000000002</v>
      </c>
      <c r="I162" s="323">
        <v>136565.50000000003</v>
      </c>
      <c r="J162" s="323">
        <v>132658.26</v>
      </c>
      <c r="K162" s="323">
        <v>117882.66000000002</v>
      </c>
      <c r="L162" s="323">
        <v>112268.82</v>
      </c>
      <c r="M162" s="323">
        <v>97520.85000000002</v>
      </c>
      <c r="N162" s="323">
        <v>100511.77000000002</v>
      </c>
      <c r="O162" s="323">
        <v>183244.63</v>
      </c>
      <c r="P162" s="323">
        <v>127300.33999999998</v>
      </c>
      <c r="Q162" s="394"/>
      <c r="R162" s="323">
        <f t="shared" si="12"/>
        <v>1502166.8</v>
      </c>
      <c r="S162" s="465"/>
      <c r="T162" s="463"/>
    </row>
    <row r="163" spans="1:20" ht="20.45" customHeight="1">
      <c r="A163" s="459">
        <v>4</v>
      </c>
      <c r="B163" s="460" t="s">
        <v>358</v>
      </c>
      <c r="C163" s="461" t="s">
        <v>31</v>
      </c>
      <c r="D163" s="358" t="s">
        <v>350</v>
      </c>
      <c r="E163" s="319">
        <v>300</v>
      </c>
      <c r="F163" s="319">
        <v>300</v>
      </c>
      <c r="G163" s="319">
        <v>300</v>
      </c>
      <c r="H163" s="319">
        <v>300</v>
      </c>
      <c r="I163" s="319">
        <v>300</v>
      </c>
      <c r="J163" s="319">
        <v>300</v>
      </c>
      <c r="K163" s="319">
        <v>50</v>
      </c>
      <c r="L163" s="319">
        <v>50</v>
      </c>
      <c r="M163" s="319">
        <v>50</v>
      </c>
      <c r="N163" s="319">
        <v>50</v>
      </c>
      <c r="O163" s="319">
        <v>50</v>
      </c>
      <c r="P163" s="319">
        <v>50</v>
      </c>
      <c r="Q163" s="390">
        <f>R163*4</f>
        <v>8400</v>
      </c>
      <c r="R163" s="284">
        <f>SUM(E163:P163)</f>
        <v>2100</v>
      </c>
      <c r="S163" s="391" t="s">
        <v>449</v>
      </c>
      <c r="T163" s="391" t="s">
        <v>349</v>
      </c>
    </row>
    <row r="164" spans="1:20" ht="15.75">
      <c r="A164" s="459"/>
      <c r="B164" s="460"/>
      <c r="C164" s="461"/>
      <c r="D164" s="358" t="s">
        <v>79</v>
      </c>
      <c r="E164" s="320">
        <v>501802.00999999983</v>
      </c>
      <c r="F164" s="320">
        <v>454143.17</v>
      </c>
      <c r="G164" s="320">
        <v>465577.93</v>
      </c>
      <c r="H164" s="320">
        <v>441329.91</v>
      </c>
      <c r="I164" s="320">
        <v>468793.52000000008</v>
      </c>
      <c r="J164" s="320">
        <v>456255.05</v>
      </c>
      <c r="K164" s="320">
        <v>470447.02</v>
      </c>
      <c r="L164" s="320">
        <v>543174.26</v>
      </c>
      <c r="M164" s="320">
        <v>450862.5500000001</v>
      </c>
      <c r="N164" s="320">
        <v>490721.21</v>
      </c>
      <c r="O164" s="320">
        <v>594685.76</v>
      </c>
      <c r="P164" s="320">
        <v>1024583.27</v>
      </c>
      <c r="Q164" s="390"/>
      <c r="R164" s="320">
        <f t="shared" ref="R164:R166" si="13">SUM(E164:P164)</f>
        <v>6362375.6600000001</v>
      </c>
      <c r="S164" s="391"/>
      <c r="T164" s="391"/>
    </row>
    <row r="165" spans="1:20" ht="15" customHeight="1">
      <c r="A165" s="459"/>
      <c r="B165" s="460"/>
      <c r="C165" s="462" t="s">
        <v>45</v>
      </c>
      <c r="D165" s="357" t="s">
        <v>350</v>
      </c>
      <c r="E165" s="321">
        <v>258</v>
      </c>
      <c r="F165" s="322">
        <v>82</v>
      </c>
      <c r="G165" s="322">
        <v>118</v>
      </c>
      <c r="H165" s="322">
        <v>3</v>
      </c>
      <c r="I165" s="322">
        <v>17</v>
      </c>
      <c r="J165" s="322">
        <v>14</v>
      </c>
      <c r="K165" s="322">
        <v>114</v>
      </c>
      <c r="L165" s="322">
        <v>21</v>
      </c>
      <c r="M165" s="322">
        <v>46</v>
      </c>
      <c r="N165" s="322">
        <v>34</v>
      </c>
      <c r="O165" s="322">
        <v>52</v>
      </c>
      <c r="P165" s="322">
        <v>74</v>
      </c>
      <c r="Q165" s="394">
        <f>R165*4</f>
        <v>3332</v>
      </c>
      <c r="R165" s="287">
        <f>SUM(E165:P165)</f>
        <v>833</v>
      </c>
      <c r="S165" s="465">
        <f>R165/R163</f>
        <v>0.39666666666666667</v>
      </c>
      <c r="T165" s="463">
        <f>R166/R164</f>
        <v>0.94621319640846224</v>
      </c>
    </row>
    <row r="166" spans="1:20" ht="15.75">
      <c r="A166" s="459"/>
      <c r="B166" s="460"/>
      <c r="C166" s="462"/>
      <c r="D166" s="357" t="s">
        <v>79</v>
      </c>
      <c r="E166" s="323">
        <v>501802.00999999983</v>
      </c>
      <c r="F166" s="323">
        <v>454143.17</v>
      </c>
      <c r="G166" s="323">
        <v>465577.93</v>
      </c>
      <c r="H166" s="323">
        <v>441329.91</v>
      </c>
      <c r="I166" s="323">
        <v>468793.52000000008</v>
      </c>
      <c r="J166" s="323">
        <v>456255.05</v>
      </c>
      <c r="K166" s="323">
        <v>470447.02</v>
      </c>
      <c r="L166" s="323">
        <v>543174.26</v>
      </c>
      <c r="M166" s="323">
        <v>450862.5500000001</v>
      </c>
      <c r="N166" s="323">
        <v>490721.21</v>
      </c>
      <c r="O166" s="323">
        <v>594685.76</v>
      </c>
      <c r="P166" s="323">
        <v>682371.42</v>
      </c>
      <c r="Q166" s="394"/>
      <c r="R166" s="323">
        <f t="shared" si="13"/>
        <v>6020163.8099999996</v>
      </c>
      <c r="S166" s="465"/>
      <c r="T166" s="463"/>
    </row>
    <row r="167" spans="1:20" ht="20.45" customHeight="1">
      <c r="A167" s="459">
        <v>5</v>
      </c>
      <c r="B167" s="460" t="s">
        <v>457</v>
      </c>
      <c r="C167" s="461" t="s">
        <v>31</v>
      </c>
      <c r="D167" s="358" t="s">
        <v>351</v>
      </c>
      <c r="E167" s="319">
        <v>500</v>
      </c>
      <c r="F167" s="319">
        <v>500</v>
      </c>
      <c r="G167" s="319">
        <v>500</v>
      </c>
      <c r="H167" s="319">
        <v>500</v>
      </c>
      <c r="I167" s="319">
        <v>500</v>
      </c>
      <c r="J167" s="319">
        <v>500</v>
      </c>
      <c r="K167" s="319">
        <v>100</v>
      </c>
      <c r="L167" s="319">
        <v>100</v>
      </c>
      <c r="M167" s="319">
        <v>100</v>
      </c>
      <c r="N167" s="319">
        <v>100</v>
      </c>
      <c r="O167" s="319">
        <v>100</v>
      </c>
      <c r="P167" s="319">
        <v>100</v>
      </c>
      <c r="Q167" s="390">
        <f>R167*4</f>
        <v>14400</v>
      </c>
      <c r="R167" s="284">
        <f>SUM(E167:P167)</f>
        <v>3600</v>
      </c>
      <c r="S167" s="391" t="s">
        <v>450</v>
      </c>
      <c r="T167" s="391" t="s">
        <v>349</v>
      </c>
    </row>
    <row r="168" spans="1:20" ht="15.75">
      <c r="A168" s="459"/>
      <c r="B168" s="460"/>
      <c r="C168" s="461"/>
      <c r="D168" s="358" t="s">
        <v>79</v>
      </c>
      <c r="E168" s="320">
        <v>370523.82000000007</v>
      </c>
      <c r="F168" s="320">
        <v>607488.59</v>
      </c>
      <c r="G168" s="320">
        <v>346568.29000000004</v>
      </c>
      <c r="H168" s="320">
        <v>330886.16000000003</v>
      </c>
      <c r="I168" s="320">
        <v>332163.38000000006</v>
      </c>
      <c r="J168" s="320">
        <v>348656.02</v>
      </c>
      <c r="K168" s="320">
        <v>331808.14000000007</v>
      </c>
      <c r="L168" s="320">
        <v>335913.93000000005</v>
      </c>
      <c r="M168" s="320">
        <v>340137.22000000009</v>
      </c>
      <c r="N168" s="320">
        <v>356561.61000000004</v>
      </c>
      <c r="O168" s="320">
        <v>365317.61999999994</v>
      </c>
      <c r="P168" s="320">
        <v>2759416.01</v>
      </c>
      <c r="Q168" s="390"/>
      <c r="R168" s="320">
        <f t="shared" ref="R168:R172" si="14">SUM(E168:P168)</f>
        <v>6825440.790000001</v>
      </c>
      <c r="S168" s="391"/>
      <c r="T168" s="391"/>
    </row>
    <row r="169" spans="1:20" ht="15" customHeight="1">
      <c r="A169" s="459"/>
      <c r="B169" s="460"/>
      <c r="C169" s="462" t="s">
        <v>45</v>
      </c>
      <c r="D169" s="357" t="s">
        <v>351</v>
      </c>
      <c r="E169" s="321">
        <v>361</v>
      </c>
      <c r="F169" s="322">
        <v>303</v>
      </c>
      <c r="G169" s="322">
        <v>212</v>
      </c>
      <c r="H169" s="322">
        <v>40</v>
      </c>
      <c r="I169" s="322">
        <v>76</v>
      </c>
      <c r="J169" s="322">
        <v>122</v>
      </c>
      <c r="K169" s="322">
        <v>162</v>
      </c>
      <c r="L169" s="322">
        <v>139</v>
      </c>
      <c r="M169" s="322">
        <v>190</v>
      </c>
      <c r="N169" s="322">
        <v>181</v>
      </c>
      <c r="O169" s="322">
        <v>190</v>
      </c>
      <c r="P169" s="322">
        <v>256</v>
      </c>
      <c r="Q169" s="394">
        <f>R169*4</f>
        <v>8928</v>
      </c>
      <c r="R169" s="323">
        <f>SUM(E169:P169)</f>
        <v>2232</v>
      </c>
      <c r="S169" s="393">
        <f>R169/R167</f>
        <v>0.62</v>
      </c>
      <c r="T169" s="463">
        <f>R170/R168</f>
        <v>0.65022288033063436</v>
      </c>
    </row>
    <row r="170" spans="1:20" ht="15.75">
      <c r="A170" s="459"/>
      <c r="B170" s="460"/>
      <c r="C170" s="462"/>
      <c r="D170" s="357" t="s">
        <v>79</v>
      </c>
      <c r="E170" s="323">
        <v>370523.82000000007</v>
      </c>
      <c r="F170" s="323">
        <v>607488.59</v>
      </c>
      <c r="G170" s="323">
        <v>346568.29000000004</v>
      </c>
      <c r="H170" s="323">
        <v>330886.16000000003</v>
      </c>
      <c r="I170" s="323">
        <v>332163.38000000006</v>
      </c>
      <c r="J170" s="323">
        <v>348656.02</v>
      </c>
      <c r="K170" s="323">
        <v>331808.14000000007</v>
      </c>
      <c r="L170" s="323">
        <v>335913.93000000005</v>
      </c>
      <c r="M170" s="323">
        <v>340137.22000000009</v>
      </c>
      <c r="N170" s="323">
        <v>356561.61000000004</v>
      </c>
      <c r="O170" s="323">
        <v>365317.61999999994</v>
      </c>
      <c r="P170" s="323">
        <v>372032.99</v>
      </c>
      <c r="Q170" s="394"/>
      <c r="R170" s="323">
        <f t="shared" si="14"/>
        <v>4438057.7700000014</v>
      </c>
      <c r="S170" s="393"/>
      <c r="T170" s="463"/>
    </row>
    <row r="171" spans="1:20" ht="20.45" customHeight="1">
      <c r="A171" s="459">
        <v>6</v>
      </c>
      <c r="B171" s="460" t="s">
        <v>458</v>
      </c>
      <c r="C171" s="461" t="s">
        <v>31</v>
      </c>
      <c r="D171" s="358" t="s">
        <v>352</v>
      </c>
      <c r="E171" s="319">
        <v>1200</v>
      </c>
      <c r="F171" s="319">
        <v>1200</v>
      </c>
      <c r="G171" s="319">
        <v>1200</v>
      </c>
      <c r="H171" s="319">
        <v>1200</v>
      </c>
      <c r="I171" s="319">
        <v>1200</v>
      </c>
      <c r="J171" s="319">
        <v>1200</v>
      </c>
      <c r="K171" s="319">
        <v>700</v>
      </c>
      <c r="L171" s="319">
        <v>700</v>
      </c>
      <c r="M171" s="319">
        <v>700</v>
      </c>
      <c r="N171" s="319">
        <v>700</v>
      </c>
      <c r="O171" s="319">
        <v>700</v>
      </c>
      <c r="P171" s="319">
        <v>700</v>
      </c>
      <c r="Q171" s="390">
        <f>R171*4</f>
        <v>45600</v>
      </c>
      <c r="R171" s="284">
        <f t="shared" si="14"/>
        <v>11400</v>
      </c>
      <c r="S171" s="391" t="s">
        <v>451</v>
      </c>
      <c r="T171" s="391" t="s">
        <v>349</v>
      </c>
    </row>
    <row r="172" spans="1:20" ht="15.75">
      <c r="A172" s="459"/>
      <c r="B172" s="460"/>
      <c r="C172" s="461"/>
      <c r="D172" s="358" t="s">
        <v>79</v>
      </c>
      <c r="E172" s="320">
        <v>159302.59000000003</v>
      </c>
      <c r="F172" s="320">
        <v>149173.44000000006</v>
      </c>
      <c r="G172" s="320">
        <v>148878.91000000006</v>
      </c>
      <c r="H172" s="320">
        <v>147133.88</v>
      </c>
      <c r="I172" s="320">
        <v>149481.4</v>
      </c>
      <c r="J172" s="320">
        <v>156028.91</v>
      </c>
      <c r="K172" s="320">
        <v>149957.97</v>
      </c>
      <c r="L172" s="320">
        <v>150140.49</v>
      </c>
      <c r="M172" s="320">
        <v>150944.46000000002</v>
      </c>
      <c r="N172" s="320">
        <v>153073.58000000002</v>
      </c>
      <c r="O172" s="320">
        <v>165674.27999999997</v>
      </c>
      <c r="P172" s="320">
        <v>454059.31999999995</v>
      </c>
      <c r="Q172" s="390"/>
      <c r="R172" s="320">
        <f t="shared" si="14"/>
        <v>2133849.2300000004</v>
      </c>
      <c r="S172" s="391"/>
      <c r="T172" s="391"/>
    </row>
    <row r="173" spans="1:20" ht="15" customHeight="1">
      <c r="A173" s="459"/>
      <c r="B173" s="460"/>
      <c r="C173" s="462" t="s">
        <v>45</v>
      </c>
      <c r="D173" s="357" t="s">
        <v>352</v>
      </c>
      <c r="E173" s="321">
        <v>710</v>
      </c>
      <c r="F173" s="322">
        <v>617</v>
      </c>
      <c r="G173" s="322">
        <v>446</v>
      </c>
      <c r="H173" s="322">
        <v>369</v>
      </c>
      <c r="I173" s="322">
        <v>417</v>
      </c>
      <c r="J173" s="322">
        <v>518</v>
      </c>
      <c r="K173" s="287">
        <v>582</v>
      </c>
      <c r="L173" s="287">
        <v>842</v>
      </c>
      <c r="M173" s="287">
        <v>1592</v>
      </c>
      <c r="N173" s="322">
        <v>1163</v>
      </c>
      <c r="O173" s="322">
        <v>1276</v>
      </c>
      <c r="P173" s="322">
        <v>1352</v>
      </c>
      <c r="Q173" s="394">
        <f>R173*4</f>
        <v>39536</v>
      </c>
      <c r="R173" s="287">
        <f>SUM(E173:P173)</f>
        <v>9884</v>
      </c>
      <c r="S173" s="393">
        <f>R173/R171</f>
        <v>0.86701754385964913</v>
      </c>
      <c r="T173" s="463">
        <f>R174/R172</f>
        <v>0.8789629762173965</v>
      </c>
    </row>
    <row r="174" spans="1:20" ht="15.75">
      <c r="A174" s="459"/>
      <c r="B174" s="460"/>
      <c r="C174" s="462"/>
      <c r="D174" s="357" t="s">
        <v>79</v>
      </c>
      <c r="E174" s="323">
        <v>159302.59000000003</v>
      </c>
      <c r="F174" s="323">
        <v>149173.44000000006</v>
      </c>
      <c r="G174" s="323">
        <v>148878.91000000006</v>
      </c>
      <c r="H174" s="323">
        <v>147133.88</v>
      </c>
      <c r="I174" s="323">
        <v>149481.4</v>
      </c>
      <c r="J174" s="323">
        <v>156028.91</v>
      </c>
      <c r="K174" s="323">
        <v>149957.97</v>
      </c>
      <c r="L174" s="323">
        <v>150140.49</v>
      </c>
      <c r="M174" s="323">
        <v>150944.46000000002</v>
      </c>
      <c r="N174" s="323">
        <v>153073.58000000002</v>
      </c>
      <c r="O174" s="323">
        <v>165674.27999999997</v>
      </c>
      <c r="P174" s="323">
        <v>195784.55999999991</v>
      </c>
      <c r="Q174" s="394"/>
      <c r="R174" s="323">
        <f>SUM(E174:P174)</f>
        <v>1875574.4700000002</v>
      </c>
      <c r="S174" s="393"/>
      <c r="T174" s="463"/>
    </row>
    <row r="175" spans="1:20" ht="20.45" customHeight="1">
      <c r="A175" s="459">
        <v>7</v>
      </c>
      <c r="B175" s="460" t="s">
        <v>459</v>
      </c>
      <c r="C175" s="461" t="s">
        <v>31</v>
      </c>
      <c r="D175" s="358" t="s">
        <v>353</v>
      </c>
      <c r="E175" s="319">
        <v>800</v>
      </c>
      <c r="F175" s="319">
        <v>800</v>
      </c>
      <c r="G175" s="319">
        <v>800</v>
      </c>
      <c r="H175" s="319">
        <v>800</v>
      </c>
      <c r="I175" s="319">
        <v>800</v>
      </c>
      <c r="J175" s="319">
        <v>800</v>
      </c>
      <c r="K175" s="319">
        <v>600</v>
      </c>
      <c r="L175" s="319">
        <v>600</v>
      </c>
      <c r="M175" s="319">
        <v>600</v>
      </c>
      <c r="N175" s="319">
        <v>600</v>
      </c>
      <c r="O175" s="319">
        <v>600</v>
      </c>
      <c r="P175" s="319">
        <v>600</v>
      </c>
      <c r="Q175" s="390">
        <f>R175*4</f>
        <v>33600</v>
      </c>
      <c r="R175" s="284">
        <f>SUM(E175:P175)</f>
        <v>8400</v>
      </c>
      <c r="S175" s="391" t="s">
        <v>452</v>
      </c>
      <c r="T175" s="391" t="s">
        <v>349</v>
      </c>
    </row>
    <row r="176" spans="1:20" ht="15.75">
      <c r="A176" s="459"/>
      <c r="B176" s="460"/>
      <c r="C176" s="461"/>
      <c r="D176" s="358" t="s">
        <v>79</v>
      </c>
      <c r="E176" s="320">
        <v>331925.93000000005</v>
      </c>
      <c r="F176" s="320">
        <v>305305.65000000002</v>
      </c>
      <c r="G176" s="320">
        <v>304639.60000000003</v>
      </c>
      <c r="H176" s="320">
        <v>302027.91000000003</v>
      </c>
      <c r="I176" s="320">
        <v>313079.8</v>
      </c>
      <c r="J176" s="320">
        <v>313825.42000000004</v>
      </c>
      <c r="K176" s="320">
        <v>292942.19000000012</v>
      </c>
      <c r="L176" s="320">
        <v>291251.6700000001</v>
      </c>
      <c r="M176" s="320">
        <v>294566.81000000017</v>
      </c>
      <c r="N176" s="320">
        <v>319186.62</v>
      </c>
      <c r="O176" s="320">
        <v>302591.77000000008</v>
      </c>
      <c r="P176" s="320">
        <v>1033057.9500000003</v>
      </c>
      <c r="Q176" s="390"/>
      <c r="R176" s="320">
        <f t="shared" ref="R176" si="15">SUM(E176:P176)</f>
        <v>4404401.3200000012</v>
      </c>
      <c r="S176" s="391"/>
      <c r="T176" s="391"/>
    </row>
    <row r="177" spans="1:20" ht="15" customHeight="1">
      <c r="A177" s="459"/>
      <c r="B177" s="460"/>
      <c r="C177" s="462" t="s">
        <v>45</v>
      </c>
      <c r="D177" s="357" t="s">
        <v>353</v>
      </c>
      <c r="E177" s="324">
        <v>1078</v>
      </c>
      <c r="F177" s="325">
        <v>834</v>
      </c>
      <c r="G177" s="325">
        <v>724</v>
      </c>
      <c r="H177" s="325">
        <v>288</v>
      </c>
      <c r="I177" s="325">
        <v>387</v>
      </c>
      <c r="J177" s="325">
        <v>376</v>
      </c>
      <c r="K177" s="324">
        <v>434</v>
      </c>
      <c r="L177" s="324">
        <v>415</v>
      </c>
      <c r="M177" s="324">
        <v>792</v>
      </c>
      <c r="N177" s="325">
        <v>699</v>
      </c>
      <c r="O177" s="325">
        <v>663</v>
      </c>
      <c r="P177" s="325">
        <v>568</v>
      </c>
      <c r="Q177" s="469">
        <f>R177*4</f>
        <v>29032</v>
      </c>
      <c r="R177" s="324">
        <f>SUM(E177:P177)</f>
        <v>7258</v>
      </c>
      <c r="S177" s="465">
        <f>R177/R175</f>
        <v>0.86404761904761906</v>
      </c>
      <c r="T177" s="466">
        <f>R178/R176</f>
        <v>0.81703822802414372</v>
      </c>
    </row>
    <row r="178" spans="1:20" ht="39" customHeight="1">
      <c r="A178" s="459"/>
      <c r="B178" s="460"/>
      <c r="C178" s="462"/>
      <c r="D178" s="357" t="s">
        <v>79</v>
      </c>
      <c r="E178" s="326">
        <v>331925.93000000005</v>
      </c>
      <c r="F178" s="326">
        <v>305305.65000000002</v>
      </c>
      <c r="G178" s="326">
        <v>304639.60000000003</v>
      </c>
      <c r="H178" s="326">
        <v>302027.91000000003</v>
      </c>
      <c r="I178" s="326">
        <v>313079.8</v>
      </c>
      <c r="J178" s="326">
        <v>313825.42000000004</v>
      </c>
      <c r="K178" s="326">
        <v>292942.19000000012</v>
      </c>
      <c r="L178" s="326">
        <v>291251.6700000001</v>
      </c>
      <c r="M178" s="326">
        <v>294566.81000000017</v>
      </c>
      <c r="N178" s="326">
        <v>319186.62</v>
      </c>
      <c r="O178" s="326">
        <v>302591.77000000008</v>
      </c>
      <c r="P178" s="326">
        <v>227220.87999999995</v>
      </c>
      <c r="Q178" s="469"/>
      <c r="R178" s="326">
        <f>SUM(E178:P178)</f>
        <v>3598564.2500000005</v>
      </c>
      <c r="S178" s="465"/>
      <c r="T178" s="466"/>
    </row>
    <row r="179" spans="1:20" ht="20.45" customHeight="1">
      <c r="A179" s="459">
        <v>8</v>
      </c>
      <c r="B179" s="460" t="s">
        <v>359</v>
      </c>
      <c r="C179" s="461" t="s">
        <v>31</v>
      </c>
      <c r="D179" s="358" t="s">
        <v>354</v>
      </c>
      <c r="E179" s="319">
        <v>73000</v>
      </c>
      <c r="F179" s="319">
        <v>73000</v>
      </c>
      <c r="G179" s="319">
        <v>73000</v>
      </c>
      <c r="H179" s="319">
        <v>73000</v>
      </c>
      <c r="I179" s="319">
        <v>73000</v>
      </c>
      <c r="J179" s="319">
        <v>73000</v>
      </c>
      <c r="K179" s="319">
        <v>73000</v>
      </c>
      <c r="L179" s="319">
        <v>73000</v>
      </c>
      <c r="M179" s="319">
        <v>73000</v>
      </c>
      <c r="N179" s="319">
        <v>73000</v>
      </c>
      <c r="O179" s="319">
        <v>73000</v>
      </c>
      <c r="P179" s="319">
        <v>73000</v>
      </c>
      <c r="Q179" s="467">
        <f>P179*4</f>
        <v>292000</v>
      </c>
      <c r="R179" s="327">
        <f>SUM(E179:P179)</f>
        <v>876000</v>
      </c>
      <c r="S179" s="391" t="s">
        <v>360</v>
      </c>
      <c r="T179" s="391" t="s">
        <v>349</v>
      </c>
    </row>
    <row r="180" spans="1:20" ht="15.75">
      <c r="A180" s="459"/>
      <c r="B180" s="460"/>
      <c r="C180" s="461"/>
      <c r="D180" s="358" t="s">
        <v>79</v>
      </c>
      <c r="E180" s="320">
        <v>783258.78999999992</v>
      </c>
      <c r="F180" s="320">
        <v>707220.7000000003</v>
      </c>
      <c r="G180" s="320">
        <v>703874.05</v>
      </c>
      <c r="H180" s="320">
        <v>717676.4</v>
      </c>
      <c r="I180" s="320">
        <v>737947.5</v>
      </c>
      <c r="J180" s="320">
        <v>751113.97000000009</v>
      </c>
      <c r="K180" s="320">
        <v>711376.72</v>
      </c>
      <c r="L180" s="320">
        <v>716021.49000000011</v>
      </c>
      <c r="M180" s="320">
        <v>722172.69000000006</v>
      </c>
      <c r="N180" s="320">
        <v>747690.2</v>
      </c>
      <c r="O180" s="320">
        <v>779755.66</v>
      </c>
      <c r="P180" s="320">
        <v>1355743.25</v>
      </c>
      <c r="Q180" s="467"/>
      <c r="R180" s="328">
        <f t="shared" ref="R180" si="16">SUM(E180:P180)</f>
        <v>9433851.4200000018</v>
      </c>
      <c r="S180" s="391"/>
      <c r="T180" s="391"/>
    </row>
    <row r="181" spans="1:20" ht="15" customHeight="1">
      <c r="A181" s="459"/>
      <c r="B181" s="460"/>
      <c r="C181" s="462" t="s">
        <v>45</v>
      </c>
      <c r="D181" s="357" t="s">
        <v>354</v>
      </c>
      <c r="E181" s="287">
        <f>73302*0.95</f>
        <v>69636.899999999994</v>
      </c>
      <c r="F181" s="322">
        <f>73341*0.95</f>
        <v>69673.95</v>
      </c>
      <c r="G181" s="322">
        <f>73358*0.95</f>
        <v>69690.099999999991</v>
      </c>
      <c r="H181" s="322">
        <f>H179*0.85</f>
        <v>62050</v>
      </c>
      <c r="I181" s="322">
        <f t="shared" ref="I181:J181" si="17">I179*0.85</f>
        <v>62050</v>
      </c>
      <c r="J181" s="322">
        <f t="shared" si="17"/>
        <v>62050</v>
      </c>
      <c r="K181" s="329">
        <f>K179*0.95</f>
        <v>69350</v>
      </c>
      <c r="L181" s="329">
        <f t="shared" ref="L181:P181" si="18">L179*0.95</f>
        <v>69350</v>
      </c>
      <c r="M181" s="329">
        <f t="shared" si="18"/>
        <v>69350</v>
      </c>
      <c r="N181" s="329">
        <f t="shared" si="18"/>
        <v>69350</v>
      </c>
      <c r="O181" s="329">
        <f t="shared" si="18"/>
        <v>69350</v>
      </c>
      <c r="P181" s="329">
        <f t="shared" si="18"/>
        <v>69350</v>
      </c>
      <c r="Q181" s="468">
        <f>R181*4</f>
        <v>3245003.8</v>
      </c>
      <c r="R181" s="295">
        <f>SUM(E181:P181)</f>
        <v>811250.95</v>
      </c>
      <c r="S181" s="393">
        <f>R181/R179</f>
        <v>0.92608555936073056</v>
      </c>
      <c r="T181" s="463">
        <f>R182/R180</f>
        <v>0.95776707070504175</v>
      </c>
    </row>
    <row r="182" spans="1:20" ht="15.75">
      <c r="A182" s="459"/>
      <c r="B182" s="460"/>
      <c r="C182" s="462"/>
      <c r="D182" s="357" t="s">
        <v>79</v>
      </c>
      <c r="E182" s="323">
        <v>783258.78999999992</v>
      </c>
      <c r="F182" s="323">
        <v>707220.7000000003</v>
      </c>
      <c r="G182" s="323">
        <v>703874.05</v>
      </c>
      <c r="H182" s="323">
        <v>717676.4</v>
      </c>
      <c r="I182" s="323">
        <v>737947.5</v>
      </c>
      <c r="J182" s="323">
        <v>751113.97000000009</v>
      </c>
      <c r="K182" s="323">
        <v>711376.72</v>
      </c>
      <c r="L182" s="323">
        <v>716021.49000000011</v>
      </c>
      <c r="M182" s="323">
        <v>722172.69000000006</v>
      </c>
      <c r="N182" s="323">
        <v>747690.2</v>
      </c>
      <c r="O182" s="323">
        <v>779755.66</v>
      </c>
      <c r="P182" s="323">
        <v>957324.07</v>
      </c>
      <c r="Q182" s="468"/>
      <c r="R182" s="330">
        <f>SUM(E182:P182)</f>
        <v>9035432.2400000002</v>
      </c>
      <c r="S182" s="393"/>
      <c r="T182" s="463"/>
    </row>
    <row r="183" spans="1:20" ht="27.75" customHeight="1">
      <c r="A183" s="459">
        <v>9</v>
      </c>
      <c r="B183" s="460" t="s">
        <v>361</v>
      </c>
      <c r="C183" s="461" t="s">
        <v>31</v>
      </c>
      <c r="D183" s="358" t="s">
        <v>354</v>
      </c>
      <c r="E183" s="319">
        <v>128000</v>
      </c>
      <c r="F183" s="319">
        <v>128000</v>
      </c>
      <c r="G183" s="319">
        <v>128000</v>
      </c>
      <c r="H183" s="319">
        <v>128000</v>
      </c>
      <c r="I183" s="319">
        <v>128000</v>
      </c>
      <c r="J183" s="319">
        <v>128000</v>
      </c>
      <c r="K183" s="319">
        <v>128000</v>
      </c>
      <c r="L183" s="319">
        <v>128000</v>
      </c>
      <c r="M183" s="319">
        <v>128000</v>
      </c>
      <c r="N183" s="319">
        <v>128000</v>
      </c>
      <c r="O183" s="319">
        <v>128000</v>
      </c>
      <c r="P183" s="319">
        <v>128000</v>
      </c>
      <c r="Q183" s="390">
        <f>P183*4</f>
        <v>512000</v>
      </c>
      <c r="R183" s="284">
        <f>SUM(E183:P183)</f>
        <v>1536000</v>
      </c>
      <c r="S183" s="391" t="s">
        <v>360</v>
      </c>
      <c r="T183" s="391" t="s">
        <v>349</v>
      </c>
    </row>
    <row r="184" spans="1:20" ht="27.75" customHeight="1">
      <c r="A184" s="459"/>
      <c r="B184" s="460"/>
      <c r="C184" s="461"/>
      <c r="D184" s="358" t="s">
        <v>79</v>
      </c>
      <c r="E184" s="320">
        <v>210997.67999999993</v>
      </c>
      <c r="F184" s="320">
        <v>110186.26999999999</v>
      </c>
      <c r="G184" s="320">
        <v>113966.32</v>
      </c>
      <c r="H184" s="320">
        <v>290150.26999999996</v>
      </c>
      <c r="I184" s="320">
        <v>209413.33</v>
      </c>
      <c r="J184" s="320">
        <v>207134.78999999992</v>
      </c>
      <c r="K184" s="320">
        <v>111375.93</v>
      </c>
      <c r="L184" s="320">
        <v>110589.93</v>
      </c>
      <c r="M184" s="320">
        <v>197470.15999999997</v>
      </c>
      <c r="N184" s="320">
        <v>208172.88</v>
      </c>
      <c r="O184" s="320">
        <v>272686.32</v>
      </c>
      <c r="P184" s="320">
        <v>706299.34000000008</v>
      </c>
      <c r="Q184" s="390"/>
      <c r="R184" s="320">
        <f t="shared" ref="R184" si="19">SUM(E184:P184)</f>
        <v>2748443.2199999997</v>
      </c>
      <c r="S184" s="391"/>
      <c r="T184" s="391"/>
    </row>
    <row r="185" spans="1:20" ht="27.75" customHeight="1">
      <c r="A185" s="459"/>
      <c r="B185" s="460"/>
      <c r="C185" s="462" t="s">
        <v>45</v>
      </c>
      <c r="D185" s="357" t="s">
        <v>354</v>
      </c>
      <c r="E185" s="331">
        <f>(27074+58101+31260+12292)*0.85</f>
        <v>109417.95</v>
      </c>
      <c r="F185" s="332">
        <f>(27100+58119+31328+12441)*0.85</f>
        <v>109639.8</v>
      </c>
      <c r="G185" s="332">
        <f>(27114+58122+31329+12439)*0.85</f>
        <v>109653.4</v>
      </c>
      <c r="H185" s="332">
        <f>H183*0.4</f>
        <v>51200</v>
      </c>
      <c r="I185" s="332">
        <f t="shared" ref="I185:J185" si="20">I183*0.4</f>
        <v>51200</v>
      </c>
      <c r="J185" s="332">
        <f t="shared" si="20"/>
        <v>51200</v>
      </c>
      <c r="K185" s="331">
        <f>K183*0.85</f>
        <v>108800</v>
      </c>
      <c r="L185" s="331">
        <f t="shared" ref="L185:P185" si="21">L183*0.85</f>
        <v>108800</v>
      </c>
      <c r="M185" s="331">
        <f t="shared" si="21"/>
        <v>108800</v>
      </c>
      <c r="N185" s="331">
        <f t="shared" si="21"/>
        <v>108800</v>
      </c>
      <c r="O185" s="331">
        <f t="shared" si="21"/>
        <v>108800</v>
      </c>
      <c r="P185" s="331">
        <f t="shared" si="21"/>
        <v>108800</v>
      </c>
      <c r="Q185" s="464">
        <v>3924.8736842105272</v>
      </c>
      <c r="R185" s="331">
        <f>SUM(E185:P185)</f>
        <v>1135111.1499999999</v>
      </c>
      <c r="S185" s="465">
        <f>R185/R183</f>
        <v>0.73900465494791656</v>
      </c>
      <c r="T185" s="466">
        <f>R186/R184</f>
        <v>0.79700695799711663</v>
      </c>
    </row>
    <row r="186" spans="1:20" ht="27.75" customHeight="1">
      <c r="A186" s="459"/>
      <c r="B186" s="460"/>
      <c r="C186" s="462"/>
      <c r="D186" s="357" t="s">
        <v>79</v>
      </c>
      <c r="E186" s="365">
        <v>210997.67999999993</v>
      </c>
      <c r="F186" s="365">
        <v>110186.26999999999</v>
      </c>
      <c r="G186" s="365">
        <v>113966.32</v>
      </c>
      <c r="H186" s="365">
        <v>290150.26999999996</v>
      </c>
      <c r="I186" s="365">
        <v>209413.33</v>
      </c>
      <c r="J186" s="365">
        <v>207134.78999999992</v>
      </c>
      <c r="K186" s="365">
        <v>111375.93</v>
      </c>
      <c r="L186" s="365">
        <v>110589.93</v>
      </c>
      <c r="M186" s="365">
        <v>197470.15999999997</v>
      </c>
      <c r="N186" s="365">
        <v>208172.88</v>
      </c>
      <c r="O186" s="365">
        <v>272686.32</v>
      </c>
      <c r="P186" s="365">
        <v>148384.49</v>
      </c>
      <c r="Q186" s="464"/>
      <c r="R186" s="365">
        <f>SUM(E186:P186)</f>
        <v>2190528.3699999996</v>
      </c>
      <c r="S186" s="465"/>
      <c r="T186" s="466"/>
    </row>
    <row r="187" spans="1:20" ht="27.75" customHeight="1">
      <c r="A187" s="459">
        <v>10</v>
      </c>
      <c r="B187" s="460" t="s">
        <v>362</v>
      </c>
      <c r="C187" s="461" t="s">
        <v>31</v>
      </c>
      <c r="D187" s="358" t="s">
        <v>352</v>
      </c>
      <c r="E187" s="319">
        <v>12000</v>
      </c>
      <c r="F187" s="319">
        <v>12000</v>
      </c>
      <c r="G187" s="319">
        <v>12000</v>
      </c>
      <c r="H187" s="319">
        <v>12000</v>
      </c>
      <c r="I187" s="319">
        <v>12000</v>
      </c>
      <c r="J187" s="319">
        <v>12000</v>
      </c>
      <c r="K187" s="319">
        <v>2000</v>
      </c>
      <c r="L187" s="319">
        <v>2000</v>
      </c>
      <c r="M187" s="319">
        <v>2000</v>
      </c>
      <c r="N187" s="319">
        <v>2000</v>
      </c>
      <c r="O187" s="319">
        <v>2000</v>
      </c>
      <c r="P187" s="319">
        <v>2000</v>
      </c>
      <c r="Q187" s="390">
        <f>R187*4</f>
        <v>336000</v>
      </c>
      <c r="R187" s="284">
        <f t="shared" ref="R187:R188" si="22">SUM(E187:P187)</f>
        <v>84000</v>
      </c>
      <c r="S187" s="391" t="s">
        <v>453</v>
      </c>
      <c r="T187" s="391" t="s">
        <v>349</v>
      </c>
    </row>
    <row r="188" spans="1:20" ht="27.75" customHeight="1">
      <c r="A188" s="459"/>
      <c r="B188" s="460"/>
      <c r="C188" s="461"/>
      <c r="D188" s="358" t="s">
        <v>79</v>
      </c>
      <c r="E188" s="320">
        <v>12495.51</v>
      </c>
      <c r="F188" s="320">
        <v>0</v>
      </c>
      <c r="G188" s="320">
        <v>18995.599999999999</v>
      </c>
      <c r="H188" s="320">
        <v>5500</v>
      </c>
      <c r="I188" s="320">
        <v>6008.62</v>
      </c>
      <c r="J188" s="320">
        <v>5600</v>
      </c>
      <c r="K188" s="320">
        <v>20506.07</v>
      </c>
      <c r="L188" s="320">
        <v>19511.18</v>
      </c>
      <c r="M188" s="320">
        <v>6620.6900000000005</v>
      </c>
      <c r="N188" s="320">
        <v>9855.44</v>
      </c>
      <c r="O188" s="320">
        <v>7200</v>
      </c>
      <c r="P188" s="320">
        <v>136956.88</v>
      </c>
      <c r="Q188" s="390"/>
      <c r="R188" s="320">
        <f t="shared" si="22"/>
        <v>249249.99000000002</v>
      </c>
      <c r="S188" s="391"/>
      <c r="T188" s="391"/>
    </row>
    <row r="189" spans="1:20" ht="27.75" customHeight="1">
      <c r="A189" s="459"/>
      <c r="B189" s="460"/>
      <c r="C189" s="462" t="s">
        <v>45</v>
      </c>
      <c r="D189" s="357" t="s">
        <v>352</v>
      </c>
      <c r="E189" s="287">
        <v>6384</v>
      </c>
      <c r="F189" s="322">
        <v>4770</v>
      </c>
      <c r="G189" s="322">
        <v>3389</v>
      </c>
      <c r="H189" s="322">
        <v>551</v>
      </c>
      <c r="I189" s="322">
        <v>798</v>
      </c>
      <c r="J189" s="322">
        <v>1338</v>
      </c>
      <c r="K189" s="287">
        <v>1168</v>
      </c>
      <c r="L189" s="287">
        <v>1688</v>
      </c>
      <c r="M189" s="287">
        <v>3593</v>
      </c>
      <c r="N189" s="322">
        <v>3350</v>
      </c>
      <c r="O189" s="322">
        <v>3036</v>
      </c>
      <c r="P189" s="322">
        <v>3350</v>
      </c>
      <c r="Q189" s="394">
        <v>2247.7912483788054</v>
      </c>
      <c r="R189" s="287">
        <f>SUM(E189:P189)</f>
        <v>33415</v>
      </c>
      <c r="S189" s="393">
        <f>R189/R187</f>
        <v>0.39779761904761907</v>
      </c>
      <c r="T189" s="463">
        <f>R190/R188</f>
        <v>0.47941069125017821</v>
      </c>
    </row>
    <row r="190" spans="1:20" ht="27.75" customHeight="1">
      <c r="A190" s="459"/>
      <c r="B190" s="460"/>
      <c r="C190" s="462"/>
      <c r="D190" s="357" t="s">
        <v>79</v>
      </c>
      <c r="E190" s="323">
        <v>12495.51</v>
      </c>
      <c r="F190" s="323">
        <v>0</v>
      </c>
      <c r="G190" s="323">
        <v>18995.599999999999</v>
      </c>
      <c r="H190" s="323">
        <v>5500</v>
      </c>
      <c r="I190" s="323">
        <v>6008.62</v>
      </c>
      <c r="J190" s="323">
        <v>5600</v>
      </c>
      <c r="K190" s="323">
        <v>20506.07</v>
      </c>
      <c r="L190" s="323">
        <v>19511.18</v>
      </c>
      <c r="M190" s="323">
        <v>6620.6900000000005</v>
      </c>
      <c r="N190" s="323">
        <v>9855.44</v>
      </c>
      <c r="O190" s="323">
        <v>7200</v>
      </c>
      <c r="P190" s="323">
        <v>7200</v>
      </c>
      <c r="Q190" s="394"/>
      <c r="R190" s="323">
        <f>SUM(E190:P190)</f>
        <v>119493.11000000002</v>
      </c>
      <c r="S190" s="393"/>
      <c r="T190" s="463"/>
    </row>
    <row r="191" spans="1:20" ht="27.75" customHeight="1">
      <c r="A191" s="459">
        <v>11</v>
      </c>
      <c r="B191" s="460" t="s">
        <v>363</v>
      </c>
      <c r="C191" s="461" t="s">
        <v>31</v>
      </c>
      <c r="D191" s="358" t="s">
        <v>355</v>
      </c>
      <c r="E191" s="319">
        <f>150*5*4</f>
        <v>3000</v>
      </c>
      <c r="F191" s="319">
        <f t="shared" ref="F191:J191" si="23">150*5*4</f>
        <v>3000</v>
      </c>
      <c r="G191" s="319">
        <f t="shared" si="23"/>
        <v>3000</v>
      </c>
      <c r="H191" s="319">
        <f t="shared" si="23"/>
        <v>3000</v>
      </c>
      <c r="I191" s="319">
        <f t="shared" si="23"/>
        <v>3000</v>
      </c>
      <c r="J191" s="319">
        <f t="shared" si="23"/>
        <v>3000</v>
      </c>
      <c r="K191" s="319">
        <v>3000</v>
      </c>
      <c r="L191" s="319">
        <v>3000</v>
      </c>
      <c r="M191" s="319">
        <v>3000</v>
      </c>
      <c r="N191" s="319">
        <v>3000</v>
      </c>
      <c r="O191" s="319">
        <v>3000</v>
      </c>
      <c r="P191" s="319">
        <v>3000</v>
      </c>
      <c r="Q191" s="390">
        <f>R191*4</f>
        <v>144000</v>
      </c>
      <c r="R191" s="284">
        <f>SUM(E191:P191)</f>
        <v>36000</v>
      </c>
      <c r="S191" s="391" t="s">
        <v>454</v>
      </c>
      <c r="T191" s="391" t="s">
        <v>349</v>
      </c>
    </row>
    <row r="192" spans="1:20" ht="27.75" customHeight="1">
      <c r="A192" s="459"/>
      <c r="B192" s="460"/>
      <c r="C192" s="461"/>
      <c r="D192" s="358" t="s">
        <v>79</v>
      </c>
      <c r="E192" s="320">
        <v>309523.31</v>
      </c>
      <c r="F192" s="320">
        <v>287214.67</v>
      </c>
      <c r="G192" s="320">
        <v>272323</v>
      </c>
      <c r="H192" s="320">
        <v>276300.01</v>
      </c>
      <c r="I192" s="320">
        <v>303481.37000000005</v>
      </c>
      <c r="J192" s="320">
        <v>274748.77</v>
      </c>
      <c r="K192" s="320">
        <v>281067.47999999992</v>
      </c>
      <c r="L192" s="320">
        <v>286520.19</v>
      </c>
      <c r="M192" s="320">
        <v>288992.98999999993</v>
      </c>
      <c r="N192" s="320">
        <v>290491.66999999987</v>
      </c>
      <c r="O192" s="320">
        <v>300226.96999999991</v>
      </c>
      <c r="P192" s="320">
        <v>477875.04000000004</v>
      </c>
      <c r="Q192" s="390"/>
      <c r="R192" s="320">
        <f t="shared" ref="R192:R204" si="24">SUM(E192:P192)</f>
        <v>3648765.4699999997</v>
      </c>
      <c r="S192" s="391"/>
      <c r="T192" s="391"/>
    </row>
    <row r="193" spans="1:20" ht="27.75" customHeight="1">
      <c r="A193" s="459"/>
      <c r="B193" s="460"/>
      <c r="C193" s="462" t="s">
        <v>45</v>
      </c>
      <c r="D193" s="357" t="s">
        <v>355</v>
      </c>
      <c r="E193" s="322">
        <v>2364</v>
      </c>
      <c r="F193" s="322">
        <v>3284</v>
      </c>
      <c r="G193" s="322">
        <v>2493</v>
      </c>
      <c r="H193" s="322">
        <v>894</v>
      </c>
      <c r="I193" s="322">
        <v>1385</v>
      </c>
      <c r="J193" s="322">
        <v>3770</v>
      </c>
      <c r="K193" s="70">
        <v>0</v>
      </c>
      <c r="L193" s="70">
        <v>2610</v>
      </c>
      <c r="M193" s="70">
        <v>3840</v>
      </c>
      <c r="N193" s="322">
        <v>3770</v>
      </c>
      <c r="O193" s="322">
        <v>4058</v>
      </c>
      <c r="P193" s="322">
        <v>7863</v>
      </c>
      <c r="Q193" s="394"/>
      <c r="R193" s="323">
        <f t="shared" si="24"/>
        <v>36331</v>
      </c>
      <c r="S193" s="393">
        <f>R193/R191</f>
        <v>1.0091944444444445</v>
      </c>
      <c r="T193" s="463">
        <f>R194/R192</f>
        <v>0.98519872805088782</v>
      </c>
    </row>
    <row r="194" spans="1:20" ht="27.75" customHeight="1">
      <c r="A194" s="459"/>
      <c r="B194" s="460"/>
      <c r="C194" s="462"/>
      <c r="D194" s="357" t="s">
        <v>79</v>
      </c>
      <c r="E194" s="323">
        <v>309523.31</v>
      </c>
      <c r="F194" s="323">
        <v>287214.67</v>
      </c>
      <c r="G194" s="323">
        <v>272323</v>
      </c>
      <c r="H194" s="323">
        <v>276300.01</v>
      </c>
      <c r="I194" s="323">
        <v>303481.37000000005</v>
      </c>
      <c r="J194" s="323">
        <v>274748.77</v>
      </c>
      <c r="K194" s="323">
        <v>281067.47999999992</v>
      </c>
      <c r="L194" s="323">
        <v>286520.19</v>
      </c>
      <c r="M194" s="323">
        <v>288992.98999999993</v>
      </c>
      <c r="N194" s="323">
        <v>290491.66999999987</v>
      </c>
      <c r="O194" s="323">
        <v>300226.96999999991</v>
      </c>
      <c r="P194" s="323">
        <v>423868.67</v>
      </c>
      <c r="Q194" s="394"/>
      <c r="R194" s="323">
        <f t="shared" si="24"/>
        <v>3594759.0999999996</v>
      </c>
      <c r="S194" s="393"/>
      <c r="T194" s="463"/>
    </row>
    <row r="195" spans="1:20" ht="27.75" customHeight="1">
      <c r="A195" s="459">
        <v>12</v>
      </c>
      <c r="B195" s="460" t="s">
        <v>460</v>
      </c>
      <c r="C195" s="461" t="s">
        <v>31</v>
      </c>
      <c r="D195" s="358" t="s">
        <v>88</v>
      </c>
      <c r="E195" s="319">
        <f>30*22</f>
        <v>660</v>
      </c>
      <c r="F195" s="319">
        <f t="shared" ref="F195:J195" si="25">30*22</f>
        <v>660</v>
      </c>
      <c r="G195" s="319">
        <f t="shared" si="25"/>
        <v>660</v>
      </c>
      <c r="H195" s="319">
        <f t="shared" si="25"/>
        <v>660</v>
      </c>
      <c r="I195" s="319">
        <f t="shared" si="25"/>
        <v>660</v>
      </c>
      <c r="J195" s="319">
        <f t="shared" si="25"/>
        <v>660</v>
      </c>
      <c r="K195" s="319">
        <v>660</v>
      </c>
      <c r="L195" s="319">
        <v>660</v>
      </c>
      <c r="M195" s="319">
        <v>660</v>
      </c>
      <c r="N195" s="319">
        <v>660</v>
      </c>
      <c r="O195" s="319">
        <v>660</v>
      </c>
      <c r="P195" s="319">
        <v>660</v>
      </c>
      <c r="Q195" s="390">
        <f>R195*4</f>
        <v>31680</v>
      </c>
      <c r="R195" s="284">
        <f t="shared" si="24"/>
        <v>7920</v>
      </c>
      <c r="S195" s="391" t="s">
        <v>364</v>
      </c>
      <c r="T195" s="391" t="s">
        <v>349</v>
      </c>
    </row>
    <row r="196" spans="1:20" ht="27.75" customHeight="1">
      <c r="A196" s="459"/>
      <c r="B196" s="460"/>
      <c r="C196" s="461"/>
      <c r="D196" s="358" t="s">
        <v>79</v>
      </c>
      <c r="E196" s="320">
        <v>930545.52</v>
      </c>
      <c r="F196" s="320">
        <v>837348.49</v>
      </c>
      <c r="G196" s="320">
        <v>838985.79999999981</v>
      </c>
      <c r="H196" s="320">
        <v>845154.5199999999</v>
      </c>
      <c r="I196" s="320">
        <v>844908.64</v>
      </c>
      <c r="J196" s="320">
        <v>868478.53999999992</v>
      </c>
      <c r="K196" s="320">
        <v>804717.61</v>
      </c>
      <c r="L196" s="320">
        <v>809799.7</v>
      </c>
      <c r="M196" s="320">
        <v>816076.84000000008</v>
      </c>
      <c r="N196" s="320">
        <v>869372.08000000007</v>
      </c>
      <c r="O196" s="320">
        <v>815723.81</v>
      </c>
      <c r="P196" s="320">
        <v>1798489.2300000002</v>
      </c>
      <c r="Q196" s="390"/>
      <c r="R196" s="284">
        <f t="shared" si="24"/>
        <v>11079600.780000001</v>
      </c>
      <c r="S196" s="391"/>
      <c r="T196" s="391"/>
    </row>
    <row r="197" spans="1:20" ht="27.75" customHeight="1">
      <c r="A197" s="459"/>
      <c r="B197" s="460"/>
      <c r="C197" s="462" t="s">
        <v>45</v>
      </c>
      <c r="D197" s="357" t="s">
        <v>88</v>
      </c>
      <c r="E197" s="321">
        <v>215</v>
      </c>
      <c r="F197" s="322">
        <v>597</v>
      </c>
      <c r="G197" s="322">
        <v>452</v>
      </c>
      <c r="H197" s="322">
        <v>127</v>
      </c>
      <c r="I197" s="322">
        <v>165</v>
      </c>
      <c r="J197" s="322">
        <v>272</v>
      </c>
      <c r="K197" s="333">
        <v>753</v>
      </c>
      <c r="L197" s="333">
        <v>430</v>
      </c>
      <c r="M197" s="333">
        <v>647</v>
      </c>
      <c r="N197" s="322">
        <f>84+255+225+227+62</f>
        <v>853</v>
      </c>
      <c r="O197" s="322">
        <f>131+345+321+177+24</f>
        <v>998</v>
      </c>
      <c r="P197" s="322">
        <f>116+135+195+131+52</f>
        <v>629</v>
      </c>
      <c r="Q197" s="394"/>
      <c r="R197" s="334">
        <f t="shared" si="24"/>
        <v>6138</v>
      </c>
      <c r="S197" s="393">
        <f>R197/R195</f>
        <v>0.77500000000000002</v>
      </c>
      <c r="T197" s="463">
        <f>R198/R196</f>
        <v>0.92788114609306338</v>
      </c>
    </row>
    <row r="198" spans="1:20" ht="27.75" customHeight="1">
      <c r="A198" s="459"/>
      <c r="B198" s="460"/>
      <c r="C198" s="462"/>
      <c r="D198" s="357" t="s">
        <v>79</v>
      </c>
      <c r="E198" s="323">
        <v>930545.52</v>
      </c>
      <c r="F198" s="323">
        <v>837348.49</v>
      </c>
      <c r="G198" s="323">
        <v>838985.79999999981</v>
      </c>
      <c r="H198" s="323">
        <v>845154.5199999999</v>
      </c>
      <c r="I198" s="323">
        <v>844908.64</v>
      </c>
      <c r="J198" s="323">
        <v>868478.53999999992</v>
      </c>
      <c r="K198" s="323">
        <v>804717.61</v>
      </c>
      <c r="L198" s="323">
        <v>809799.7</v>
      </c>
      <c r="M198" s="323">
        <v>816076.84000000008</v>
      </c>
      <c r="N198" s="323">
        <v>869372.08000000007</v>
      </c>
      <c r="O198" s="323">
        <v>815723.81</v>
      </c>
      <c r="P198" s="323">
        <v>999441.11999999988</v>
      </c>
      <c r="Q198" s="394"/>
      <c r="R198" s="323">
        <f t="shared" si="24"/>
        <v>10280552.67</v>
      </c>
      <c r="S198" s="393"/>
      <c r="T198" s="463"/>
    </row>
    <row r="199" spans="1:20" ht="27.75" customHeight="1">
      <c r="A199" s="459">
        <v>13</v>
      </c>
      <c r="B199" s="460" t="s">
        <v>461</v>
      </c>
      <c r="C199" s="461" t="s">
        <v>31</v>
      </c>
      <c r="D199" s="358" t="s">
        <v>88</v>
      </c>
      <c r="E199" s="319">
        <v>7250</v>
      </c>
      <c r="F199" s="319">
        <v>7230</v>
      </c>
      <c r="G199" s="319">
        <v>7270</v>
      </c>
      <c r="H199" s="319">
        <v>7500</v>
      </c>
      <c r="I199" s="319">
        <v>7350</v>
      </c>
      <c r="J199" s="319">
        <v>7320</v>
      </c>
      <c r="K199" s="319">
        <v>2000</v>
      </c>
      <c r="L199" s="319">
        <v>2000</v>
      </c>
      <c r="M199" s="319">
        <v>2000</v>
      </c>
      <c r="N199" s="319">
        <v>2000</v>
      </c>
      <c r="O199" s="319">
        <v>2000</v>
      </c>
      <c r="P199" s="319">
        <v>2000</v>
      </c>
      <c r="Q199" s="390"/>
      <c r="R199" s="284">
        <f t="shared" si="24"/>
        <v>55920</v>
      </c>
      <c r="S199" s="391" t="s">
        <v>364</v>
      </c>
      <c r="T199" s="391" t="s">
        <v>349</v>
      </c>
    </row>
    <row r="200" spans="1:20" ht="27.75" customHeight="1">
      <c r="A200" s="459"/>
      <c r="B200" s="460"/>
      <c r="C200" s="461"/>
      <c r="D200" s="358" t="s">
        <v>79</v>
      </c>
      <c r="E200" s="320">
        <v>444917.18999999983</v>
      </c>
      <c r="F200" s="320">
        <v>429409.64999999997</v>
      </c>
      <c r="G200" s="320">
        <v>442447.86999999994</v>
      </c>
      <c r="H200" s="320">
        <v>435955.84000000008</v>
      </c>
      <c r="I200" s="320">
        <v>472654.72999999986</v>
      </c>
      <c r="J200" s="320">
        <v>448535.6999999999</v>
      </c>
      <c r="K200" s="320">
        <v>453245.79</v>
      </c>
      <c r="L200" s="320">
        <v>436129.63999999996</v>
      </c>
      <c r="M200" s="320">
        <v>434438.18000000005</v>
      </c>
      <c r="N200" s="320">
        <v>441293.01</v>
      </c>
      <c r="O200" s="320">
        <v>437211.35999999987</v>
      </c>
      <c r="P200" s="320">
        <v>867641.68</v>
      </c>
      <c r="Q200" s="390"/>
      <c r="R200" s="320">
        <f t="shared" si="24"/>
        <v>5743880.6399999987</v>
      </c>
      <c r="S200" s="391"/>
      <c r="T200" s="391"/>
    </row>
    <row r="201" spans="1:20" ht="27.75" customHeight="1">
      <c r="A201" s="459"/>
      <c r="B201" s="460"/>
      <c r="C201" s="462" t="s">
        <v>45</v>
      </c>
      <c r="D201" s="357" t="s">
        <v>88</v>
      </c>
      <c r="E201" s="322">
        <v>4806</v>
      </c>
      <c r="F201" s="322">
        <v>4905</v>
      </c>
      <c r="G201" s="322">
        <v>5782</v>
      </c>
      <c r="H201" s="322">
        <v>911</v>
      </c>
      <c r="I201" s="322">
        <v>1067</v>
      </c>
      <c r="J201" s="322">
        <v>1457</v>
      </c>
      <c r="K201" s="333">
        <v>1609</v>
      </c>
      <c r="L201" s="333">
        <v>1203</v>
      </c>
      <c r="M201" s="333">
        <v>1793</v>
      </c>
      <c r="N201" s="322">
        <v>2739</v>
      </c>
      <c r="O201" s="322">
        <v>3019</v>
      </c>
      <c r="P201" s="322">
        <v>4219</v>
      </c>
      <c r="Q201" s="394"/>
      <c r="R201" s="334">
        <f>SUM(E201:P201)</f>
        <v>33510</v>
      </c>
      <c r="S201" s="393">
        <f>R201/R199</f>
        <v>0.59924892703862664</v>
      </c>
      <c r="T201" s="463">
        <f>R202/R200</f>
        <v>0.95673811216244209</v>
      </c>
    </row>
    <row r="202" spans="1:20" ht="27.75" customHeight="1">
      <c r="A202" s="459"/>
      <c r="B202" s="460"/>
      <c r="C202" s="462"/>
      <c r="D202" s="357" t="s">
        <v>79</v>
      </c>
      <c r="E202" s="323">
        <v>444917.18999999983</v>
      </c>
      <c r="F202" s="323">
        <v>429409.64999999997</v>
      </c>
      <c r="G202" s="323">
        <v>442447.86999999994</v>
      </c>
      <c r="H202" s="323">
        <v>435955.84000000008</v>
      </c>
      <c r="I202" s="323">
        <v>472654.72999999986</v>
      </c>
      <c r="J202" s="323">
        <v>448535.6999999999</v>
      </c>
      <c r="K202" s="323">
        <v>453245.79</v>
      </c>
      <c r="L202" s="323">
        <v>436129.63999999996</v>
      </c>
      <c r="M202" s="323">
        <v>434438.18000000005</v>
      </c>
      <c r="N202" s="323">
        <v>441293.01</v>
      </c>
      <c r="O202" s="323">
        <v>437211.35999999987</v>
      </c>
      <c r="P202" s="323">
        <v>619150.55999999994</v>
      </c>
      <c r="Q202" s="394"/>
      <c r="R202" s="323">
        <f t="shared" si="24"/>
        <v>5495389.5199999986</v>
      </c>
      <c r="S202" s="393"/>
      <c r="T202" s="463"/>
    </row>
    <row r="203" spans="1:20" ht="27.75" customHeight="1">
      <c r="A203" s="459">
        <v>14</v>
      </c>
      <c r="B203" s="460" t="s">
        <v>365</v>
      </c>
      <c r="C203" s="461" t="s">
        <v>31</v>
      </c>
      <c r="D203" s="358" t="s">
        <v>88</v>
      </c>
      <c r="E203" s="319">
        <v>2545</v>
      </c>
      <c r="F203" s="319">
        <v>2545</v>
      </c>
      <c r="G203" s="319">
        <v>2335</v>
      </c>
      <c r="H203" s="319">
        <v>2206</v>
      </c>
      <c r="I203" s="319">
        <v>2317</v>
      </c>
      <c r="J203" s="319">
        <v>2471</v>
      </c>
      <c r="K203" s="319">
        <v>2384</v>
      </c>
      <c r="L203" s="319">
        <v>2254</v>
      </c>
      <c r="M203" s="319">
        <v>2047</v>
      </c>
      <c r="N203" s="319">
        <v>2308</v>
      </c>
      <c r="O203" s="319">
        <v>2295</v>
      </c>
      <c r="P203" s="319">
        <v>2305</v>
      </c>
      <c r="Q203" s="390">
        <f>R203*4</f>
        <v>112048</v>
      </c>
      <c r="R203" s="284">
        <f t="shared" si="24"/>
        <v>28012</v>
      </c>
      <c r="S203" s="391" t="s">
        <v>364</v>
      </c>
      <c r="T203" s="391" t="s">
        <v>349</v>
      </c>
    </row>
    <row r="204" spans="1:20" ht="27.75" customHeight="1">
      <c r="A204" s="459"/>
      <c r="B204" s="460"/>
      <c r="C204" s="461"/>
      <c r="D204" s="358" t="s">
        <v>79</v>
      </c>
      <c r="E204" s="320">
        <v>1413067.5199999998</v>
      </c>
      <c r="F204" s="320">
        <v>1240399.8399999992</v>
      </c>
      <c r="G204" s="320">
        <v>1249066.7699999996</v>
      </c>
      <c r="H204" s="320">
        <v>1234325.2300000002</v>
      </c>
      <c r="I204" s="320">
        <v>1299506.8799999997</v>
      </c>
      <c r="J204" s="320">
        <v>1262825.0699999996</v>
      </c>
      <c r="K204" s="320">
        <v>1226454.4799999993</v>
      </c>
      <c r="L204" s="320">
        <v>1244036.7299999995</v>
      </c>
      <c r="M204" s="320">
        <v>1253467.7399999998</v>
      </c>
      <c r="N204" s="320">
        <v>1425420.9700000002</v>
      </c>
      <c r="O204" s="320">
        <v>1265933.6500000001</v>
      </c>
      <c r="P204" s="320">
        <v>2302683.9600000004</v>
      </c>
      <c r="Q204" s="390"/>
      <c r="R204" s="320">
        <f t="shared" si="24"/>
        <v>16417188.839999998</v>
      </c>
      <c r="S204" s="391"/>
      <c r="T204" s="391"/>
    </row>
    <row r="205" spans="1:20" ht="27.75" customHeight="1">
      <c r="A205" s="459"/>
      <c r="B205" s="460"/>
      <c r="C205" s="462" t="s">
        <v>45</v>
      </c>
      <c r="D205" s="357" t="s">
        <v>88</v>
      </c>
      <c r="E205" s="322">
        <v>3594</v>
      </c>
      <c r="F205" s="322">
        <v>2133</v>
      </c>
      <c r="G205" s="322">
        <v>2225</v>
      </c>
      <c r="H205" s="322">
        <v>0</v>
      </c>
      <c r="I205" s="322">
        <v>2</v>
      </c>
      <c r="J205" s="322">
        <v>4</v>
      </c>
      <c r="K205" s="333">
        <v>3680</v>
      </c>
      <c r="L205" s="333">
        <v>2834</v>
      </c>
      <c r="M205" s="333">
        <v>4200</v>
      </c>
      <c r="N205" s="322">
        <v>2167</v>
      </c>
      <c r="O205" s="322">
        <v>3790</v>
      </c>
      <c r="P205" s="322">
        <v>4827</v>
      </c>
      <c r="Q205" s="394">
        <v>3033.2308634593046</v>
      </c>
      <c r="R205" s="333">
        <f>SUM(E205:P205)</f>
        <v>29456</v>
      </c>
      <c r="S205" s="393">
        <f>R205/R203</f>
        <v>1.0515493359988577</v>
      </c>
      <c r="T205" s="463">
        <f>R206/R204</f>
        <v>0.97175236853765756</v>
      </c>
    </row>
    <row r="206" spans="1:20" ht="27.75" customHeight="1">
      <c r="A206" s="459"/>
      <c r="B206" s="460"/>
      <c r="C206" s="462"/>
      <c r="D206" s="357" t="s">
        <v>79</v>
      </c>
      <c r="E206" s="323">
        <v>1413067.5199999998</v>
      </c>
      <c r="F206" s="323">
        <v>1240399.8399999992</v>
      </c>
      <c r="G206" s="323">
        <v>1249066.7699999996</v>
      </c>
      <c r="H206" s="323">
        <v>1234325.2300000002</v>
      </c>
      <c r="I206" s="323">
        <v>1299506.8799999997</v>
      </c>
      <c r="J206" s="323">
        <v>1262825.0699999996</v>
      </c>
      <c r="K206" s="323">
        <v>1226454.4799999993</v>
      </c>
      <c r="L206" s="323">
        <v>1244036.7299999995</v>
      </c>
      <c r="M206" s="323">
        <v>1253467.7399999998</v>
      </c>
      <c r="N206" s="323">
        <v>1425420.9700000002</v>
      </c>
      <c r="O206" s="323">
        <v>1265933.6500000001</v>
      </c>
      <c r="P206" s="323">
        <v>1838937.2599999995</v>
      </c>
      <c r="Q206" s="394"/>
      <c r="R206" s="323">
        <f>SUM(E206:P206)</f>
        <v>15953442.139999997</v>
      </c>
      <c r="S206" s="393"/>
      <c r="T206" s="463"/>
    </row>
    <row r="207" spans="1:20" ht="27.75" customHeight="1">
      <c r="A207" s="459">
        <v>15</v>
      </c>
      <c r="B207" s="460" t="s">
        <v>366</v>
      </c>
      <c r="C207" s="461" t="s">
        <v>31</v>
      </c>
      <c r="D207" s="358" t="s">
        <v>88</v>
      </c>
      <c r="E207" s="319">
        <v>2265</v>
      </c>
      <c r="F207" s="319">
        <v>2123</v>
      </c>
      <c r="G207" s="319">
        <v>2250</v>
      </c>
      <c r="H207" s="319">
        <v>2413</v>
      </c>
      <c r="I207" s="319">
        <v>2402</v>
      </c>
      <c r="J207" s="319">
        <v>2278</v>
      </c>
      <c r="K207" s="319">
        <v>1000</v>
      </c>
      <c r="L207" s="319">
        <v>1000</v>
      </c>
      <c r="M207" s="319">
        <v>1000</v>
      </c>
      <c r="N207" s="319">
        <v>1000</v>
      </c>
      <c r="O207" s="319">
        <v>1000</v>
      </c>
      <c r="P207" s="319">
        <v>1000</v>
      </c>
      <c r="Q207" s="390"/>
      <c r="R207" s="284">
        <f>SUM(E207:P207)</f>
        <v>19731</v>
      </c>
      <c r="S207" s="391" t="s">
        <v>364</v>
      </c>
      <c r="T207" s="391" t="s">
        <v>349</v>
      </c>
    </row>
    <row r="208" spans="1:20" ht="27.75" customHeight="1">
      <c r="A208" s="459"/>
      <c r="B208" s="460"/>
      <c r="C208" s="461"/>
      <c r="D208" s="358" t="s">
        <v>79</v>
      </c>
      <c r="E208" s="320">
        <v>534525.2699999999</v>
      </c>
      <c r="F208" s="320">
        <v>478713.34000000014</v>
      </c>
      <c r="G208" s="320">
        <v>490004.53999999992</v>
      </c>
      <c r="H208" s="320">
        <v>471982.85000000015</v>
      </c>
      <c r="I208" s="320">
        <v>504568.48000000004</v>
      </c>
      <c r="J208" s="320">
        <v>488841.68000000011</v>
      </c>
      <c r="K208" s="320">
        <v>457178.68000000011</v>
      </c>
      <c r="L208" s="320">
        <v>466647.01000000013</v>
      </c>
      <c r="M208" s="320">
        <v>467195.47000000015</v>
      </c>
      <c r="N208" s="320">
        <v>524152.64000000019</v>
      </c>
      <c r="O208" s="320">
        <v>486656.29000000021</v>
      </c>
      <c r="P208" s="320">
        <v>1096691.6600000001</v>
      </c>
      <c r="Q208" s="390"/>
      <c r="R208" s="320">
        <f t="shared" ref="R208" si="26">SUM(E208:P208)</f>
        <v>6467157.9100000011</v>
      </c>
      <c r="S208" s="391"/>
      <c r="T208" s="391"/>
    </row>
    <row r="209" spans="1:21" ht="27.75" customHeight="1">
      <c r="A209" s="459"/>
      <c r="B209" s="460"/>
      <c r="C209" s="462" t="s">
        <v>45</v>
      </c>
      <c r="D209" s="357" t="s">
        <v>88</v>
      </c>
      <c r="E209" s="287">
        <v>2545</v>
      </c>
      <c r="F209" s="322">
        <v>1278</v>
      </c>
      <c r="G209" s="322">
        <v>1264</v>
      </c>
      <c r="H209" s="322">
        <v>9</v>
      </c>
      <c r="I209" s="322">
        <v>21</v>
      </c>
      <c r="J209" s="322">
        <v>42</v>
      </c>
      <c r="K209" s="333">
        <v>208</v>
      </c>
      <c r="L209" s="333">
        <v>608</v>
      </c>
      <c r="M209" s="333">
        <v>802</v>
      </c>
      <c r="N209" s="322">
        <v>1537</v>
      </c>
      <c r="O209" s="322">
        <v>2081</v>
      </c>
      <c r="P209" s="322">
        <v>3425</v>
      </c>
      <c r="Q209" s="394">
        <v>4182.1621276860078</v>
      </c>
      <c r="R209" s="333">
        <f>SUM(E209:P209)</f>
        <v>13820</v>
      </c>
      <c r="S209" s="393">
        <f>R209/R207</f>
        <v>0.7004206578480564</v>
      </c>
      <c r="T209" s="463">
        <f>R210/R208</f>
        <v>0.92267601673576571</v>
      </c>
    </row>
    <row r="210" spans="1:21" ht="27.75" customHeight="1">
      <c r="A210" s="459"/>
      <c r="B210" s="460"/>
      <c r="C210" s="462"/>
      <c r="D210" s="357" t="s">
        <v>79</v>
      </c>
      <c r="E210" s="323">
        <v>534525.2699999999</v>
      </c>
      <c r="F210" s="323">
        <v>478713.34000000014</v>
      </c>
      <c r="G210" s="323">
        <v>490004.53999999992</v>
      </c>
      <c r="H210" s="323">
        <v>471982.85000000015</v>
      </c>
      <c r="I210" s="323">
        <v>504568.48000000004</v>
      </c>
      <c r="J210" s="323">
        <v>488841.68000000011</v>
      </c>
      <c r="K210" s="323">
        <v>457178.68000000011</v>
      </c>
      <c r="L210" s="323">
        <v>466647.01000000013</v>
      </c>
      <c r="M210" s="323">
        <v>467195.47000000015</v>
      </c>
      <c r="N210" s="323">
        <v>524152.64000000019</v>
      </c>
      <c r="O210" s="323">
        <v>486656.29000000021</v>
      </c>
      <c r="P210" s="323">
        <v>596625.25000000023</v>
      </c>
      <c r="Q210" s="394"/>
      <c r="R210" s="323">
        <f>SUM(E210:P210)</f>
        <v>5967091.5000000009</v>
      </c>
      <c r="S210" s="393"/>
      <c r="T210" s="463"/>
    </row>
    <row r="211" spans="1:21" ht="27.75" customHeight="1">
      <c r="A211" s="459">
        <v>16</v>
      </c>
      <c r="B211" s="460" t="s">
        <v>367</v>
      </c>
      <c r="C211" s="461" t="s">
        <v>31</v>
      </c>
      <c r="D211" s="358" t="s">
        <v>88</v>
      </c>
      <c r="E211" s="319">
        <v>1828</v>
      </c>
      <c r="F211" s="319">
        <v>1828</v>
      </c>
      <c r="G211" s="319">
        <v>1828</v>
      </c>
      <c r="H211" s="319">
        <v>1828</v>
      </c>
      <c r="I211" s="319">
        <v>1828</v>
      </c>
      <c r="J211" s="319">
        <v>1828</v>
      </c>
      <c r="K211" s="319">
        <v>700</v>
      </c>
      <c r="L211" s="319">
        <v>700</v>
      </c>
      <c r="M211" s="319">
        <v>700</v>
      </c>
      <c r="N211" s="319">
        <v>700</v>
      </c>
      <c r="O211" s="319">
        <v>700</v>
      </c>
      <c r="P211" s="319">
        <v>700</v>
      </c>
      <c r="Q211" s="390"/>
      <c r="R211" s="284">
        <f>SUM(E211:P211)</f>
        <v>15168</v>
      </c>
      <c r="S211" s="391" t="s">
        <v>364</v>
      </c>
      <c r="T211" s="391" t="s">
        <v>349</v>
      </c>
    </row>
    <row r="212" spans="1:21" ht="27.75" customHeight="1">
      <c r="A212" s="459"/>
      <c r="B212" s="460"/>
      <c r="C212" s="461"/>
      <c r="D212" s="358" t="s">
        <v>79</v>
      </c>
      <c r="E212" s="320">
        <v>492721.96</v>
      </c>
      <c r="F212" s="320">
        <v>462580.74000000022</v>
      </c>
      <c r="G212" s="320">
        <v>457675.80999999994</v>
      </c>
      <c r="H212" s="320">
        <v>441974.73</v>
      </c>
      <c r="I212" s="320">
        <v>487348.03999999992</v>
      </c>
      <c r="J212" s="320">
        <v>452319.78999999986</v>
      </c>
      <c r="K212" s="320">
        <v>445845.93999999994</v>
      </c>
      <c r="L212" s="320">
        <v>449752.6399999999</v>
      </c>
      <c r="M212" s="320">
        <v>462861.48000000016</v>
      </c>
      <c r="N212" s="320">
        <v>513130.63999999996</v>
      </c>
      <c r="O212" s="320">
        <v>479507.76999999996</v>
      </c>
      <c r="P212" s="320">
        <v>1029670.3699999998</v>
      </c>
      <c r="Q212" s="390"/>
      <c r="R212" s="320">
        <f t="shared" ref="R212" si="27">SUM(E212:P212)</f>
        <v>6175389.9100000001</v>
      </c>
      <c r="S212" s="391"/>
      <c r="T212" s="391"/>
    </row>
    <row r="213" spans="1:21" ht="27.75" customHeight="1">
      <c r="A213" s="459"/>
      <c r="B213" s="460"/>
      <c r="C213" s="462" t="s">
        <v>45</v>
      </c>
      <c r="D213" s="357" t="s">
        <v>88</v>
      </c>
      <c r="E213" s="287">
        <v>2419</v>
      </c>
      <c r="F213" s="322">
        <v>1665</v>
      </c>
      <c r="G213" s="322">
        <v>1515</v>
      </c>
      <c r="H213" s="322">
        <v>14</v>
      </c>
      <c r="I213" s="322">
        <v>17</v>
      </c>
      <c r="J213" s="322">
        <v>183</v>
      </c>
      <c r="K213" s="333">
        <v>215</v>
      </c>
      <c r="L213" s="333">
        <v>763</v>
      </c>
      <c r="M213" s="333">
        <v>761</v>
      </c>
      <c r="N213" s="322">
        <v>1895</v>
      </c>
      <c r="O213" s="322">
        <v>2094</v>
      </c>
      <c r="P213" s="322">
        <v>1490</v>
      </c>
      <c r="Q213" s="394">
        <v>3296.9433542196134</v>
      </c>
      <c r="R213" s="333">
        <f>SUM(E213:P213)</f>
        <v>13031</v>
      </c>
      <c r="S213" s="393">
        <f>R213/R211</f>
        <v>0.85911128691983119</v>
      </c>
      <c r="T213" s="463">
        <f>R214/R212</f>
        <v>0.95029575873371852</v>
      </c>
    </row>
    <row r="214" spans="1:21" ht="27.75" customHeight="1">
      <c r="A214" s="459"/>
      <c r="B214" s="460"/>
      <c r="C214" s="462"/>
      <c r="D214" s="357" t="s">
        <v>79</v>
      </c>
      <c r="E214" s="323">
        <v>492721.96</v>
      </c>
      <c r="F214" s="323">
        <v>462580.74000000022</v>
      </c>
      <c r="G214" s="323">
        <v>457675.80999999994</v>
      </c>
      <c r="H214" s="323">
        <v>441974.73</v>
      </c>
      <c r="I214" s="323">
        <v>487348.03999999992</v>
      </c>
      <c r="J214" s="323">
        <v>452319.78999999986</v>
      </c>
      <c r="K214" s="323">
        <v>445845.93999999994</v>
      </c>
      <c r="L214" s="323">
        <v>449752.6399999999</v>
      </c>
      <c r="M214" s="323">
        <v>462861.48000000016</v>
      </c>
      <c r="N214" s="323">
        <v>513130.63999999996</v>
      </c>
      <c r="O214" s="323">
        <v>479507.76999999996</v>
      </c>
      <c r="P214" s="323">
        <v>722727.3</v>
      </c>
      <c r="Q214" s="394"/>
      <c r="R214" s="323">
        <f>SUM(E214:P214)</f>
        <v>5868446.8399999999</v>
      </c>
      <c r="S214" s="393"/>
      <c r="T214" s="463"/>
    </row>
    <row r="215" spans="1:21" ht="33.75" customHeight="1">
      <c r="A215" s="384" t="s">
        <v>368</v>
      </c>
      <c r="B215" s="384"/>
      <c r="C215" s="436" t="s">
        <v>31</v>
      </c>
      <c r="D215" s="263" t="s">
        <v>88</v>
      </c>
      <c r="E215" s="264">
        <f>E151+E155+E159+E163+E167+E171+E175+E179+E183+E187+E191+E195+E199+E203+E207+E211</f>
        <v>233373</v>
      </c>
      <c r="F215" s="264">
        <f t="shared" ref="F215:P215" si="28">F151+F155+F159+F163+F167+F171+F175+F179+F183+F187+F191+F195+F199+F203+F207+F211</f>
        <v>233211</v>
      </c>
      <c r="G215" s="264">
        <f t="shared" si="28"/>
        <v>233168</v>
      </c>
      <c r="H215" s="264">
        <f t="shared" si="28"/>
        <v>233432</v>
      </c>
      <c r="I215" s="264">
        <f t="shared" si="28"/>
        <v>233382</v>
      </c>
      <c r="J215" s="264">
        <f t="shared" si="28"/>
        <v>233382</v>
      </c>
      <c r="K215" s="264">
        <f t="shared" si="28"/>
        <v>214209</v>
      </c>
      <c r="L215" s="264">
        <f t="shared" si="28"/>
        <v>214079</v>
      </c>
      <c r="M215" s="264">
        <f t="shared" si="28"/>
        <v>213872</v>
      </c>
      <c r="N215" s="264">
        <f t="shared" si="28"/>
        <v>214133</v>
      </c>
      <c r="O215" s="264">
        <f t="shared" si="28"/>
        <v>214120</v>
      </c>
      <c r="P215" s="264">
        <f t="shared" si="28"/>
        <v>214130</v>
      </c>
      <c r="Q215" s="453"/>
      <c r="R215" s="265">
        <f t="shared" ref="R215:R218" si="29">SUM(E215:P215)</f>
        <v>2684491</v>
      </c>
      <c r="S215" s="437" t="s">
        <v>89</v>
      </c>
      <c r="T215" s="437" t="s">
        <v>90</v>
      </c>
    </row>
    <row r="216" spans="1:21" ht="33.75" customHeight="1">
      <c r="A216" s="384"/>
      <c r="B216" s="384"/>
      <c r="C216" s="436"/>
      <c r="D216" s="263" t="s">
        <v>79</v>
      </c>
      <c r="E216" s="278">
        <f>SUM(E152,E156,E160,E164,E168,E172,E176,E180,E184,E188,E192,E196,E200,E204,E208,E212,)</f>
        <v>7128059.9799999986</v>
      </c>
      <c r="F216" s="278">
        <f>SUM(F152,F156,F160,F164,F168,F172,F176,F180,F184,F188,F192,F196,F200,F204,F208,F212,)</f>
        <v>6682018.9799999995</v>
      </c>
      <c r="G216" s="278">
        <f t="shared" ref="F216:P218" si="30">SUM(G152,G156,G160,G164,G168,G172,G176,G180,G184,G188,G192,G196,G200,G204,G208,G212,)</f>
        <v>6460326.4399999995</v>
      </c>
      <c r="H216" s="278">
        <f t="shared" si="30"/>
        <v>6549792.7300000004</v>
      </c>
      <c r="I216" s="278">
        <f t="shared" si="30"/>
        <v>6749411.0300000012</v>
      </c>
      <c r="J216" s="278">
        <f t="shared" si="30"/>
        <v>6654870.6899999995</v>
      </c>
      <c r="K216" s="278">
        <f t="shared" si="30"/>
        <v>6364647.2299999986</v>
      </c>
      <c r="L216" s="278">
        <f t="shared" si="30"/>
        <v>6453461.5299999993</v>
      </c>
      <c r="M216" s="278">
        <f t="shared" si="30"/>
        <v>6438550.2399999993</v>
      </c>
      <c r="N216" s="278">
        <f t="shared" si="30"/>
        <v>6931171.5499999998</v>
      </c>
      <c r="O216" s="278">
        <f t="shared" si="30"/>
        <v>6921562.3199999994</v>
      </c>
      <c r="P216" s="278">
        <f t="shared" si="30"/>
        <v>17119261.090000004</v>
      </c>
      <c r="Q216" s="453"/>
      <c r="R216" s="266">
        <f>SUM(E216:P216)</f>
        <v>90453133.809999987</v>
      </c>
      <c r="S216" s="437"/>
      <c r="T216" s="437"/>
    </row>
    <row r="217" spans="1:21" ht="28.5" customHeight="1">
      <c r="A217" s="384"/>
      <c r="B217" s="384"/>
      <c r="C217" s="438" t="s">
        <v>45</v>
      </c>
      <c r="D217" s="267" t="s">
        <v>88</v>
      </c>
      <c r="E217" s="251">
        <f>SUM(E153,E157,E161,E165,E169,E173,E177,E181,E185,E189,E193,E197,E201,E205,E209,E213,)</f>
        <v>203812.84999999998</v>
      </c>
      <c r="F217" s="251">
        <f t="shared" si="30"/>
        <v>199804.75</v>
      </c>
      <c r="G217" s="251">
        <f t="shared" si="30"/>
        <v>197981.5</v>
      </c>
      <c r="H217" s="251">
        <f t="shared" si="30"/>
        <v>116471</v>
      </c>
      <c r="I217" s="251">
        <f t="shared" si="30"/>
        <v>117616</v>
      </c>
      <c r="J217" s="251">
        <f t="shared" si="30"/>
        <v>121359</v>
      </c>
      <c r="K217" s="251">
        <f t="shared" si="30"/>
        <v>187092</v>
      </c>
      <c r="L217" s="251">
        <f t="shared" si="30"/>
        <v>189723</v>
      </c>
      <c r="M217" s="251">
        <f t="shared" si="30"/>
        <v>196420</v>
      </c>
      <c r="N217" s="251">
        <f t="shared" si="30"/>
        <v>196562</v>
      </c>
      <c r="O217" s="251">
        <f t="shared" si="30"/>
        <v>199430</v>
      </c>
      <c r="P217" s="251">
        <f t="shared" si="30"/>
        <v>206229</v>
      </c>
      <c r="Q217" s="268"/>
      <c r="R217" s="269">
        <f t="shared" si="29"/>
        <v>2132501.1</v>
      </c>
      <c r="S217" s="454">
        <f>R217/R215</f>
        <v>0.79437818938487781</v>
      </c>
      <c r="T217" s="454">
        <f>R218/R216</f>
        <v>0.90783172756057329</v>
      </c>
    </row>
    <row r="218" spans="1:21" ht="28.5" customHeight="1">
      <c r="A218" s="384"/>
      <c r="B218" s="384"/>
      <c r="C218" s="438"/>
      <c r="D218" s="267" t="s">
        <v>79</v>
      </c>
      <c r="E218" s="279">
        <f>SUM(E154,E158,E162,E166,E170,E174,E178,E182,E186,E190,E194,E198,E202,E206,E210,E214,)</f>
        <v>7128059.9799999986</v>
      </c>
      <c r="F218" s="279">
        <f t="shared" si="30"/>
        <v>6682018.9799999995</v>
      </c>
      <c r="G218" s="279">
        <f t="shared" si="30"/>
        <v>6460326.4399999995</v>
      </c>
      <c r="H218" s="279">
        <f t="shared" si="30"/>
        <v>6549792.7300000004</v>
      </c>
      <c r="I218" s="279">
        <f t="shared" si="30"/>
        <v>6749411.0300000012</v>
      </c>
      <c r="J218" s="279">
        <f t="shared" si="30"/>
        <v>6654870.6899999995</v>
      </c>
      <c r="K218" s="279">
        <f t="shared" si="30"/>
        <v>6364647.2299999986</v>
      </c>
      <c r="L218" s="279">
        <f t="shared" si="30"/>
        <v>6453461.5299999993</v>
      </c>
      <c r="M218" s="279">
        <f t="shared" si="30"/>
        <v>6438550.2399999993</v>
      </c>
      <c r="N218" s="279">
        <f t="shared" si="30"/>
        <v>6931171.5499999998</v>
      </c>
      <c r="O218" s="279">
        <f t="shared" si="30"/>
        <v>6921562.3199999994</v>
      </c>
      <c r="P218" s="279">
        <f t="shared" si="30"/>
        <v>8782352.0099999998</v>
      </c>
      <c r="Q218" s="268"/>
      <c r="R218" s="279">
        <f t="shared" si="29"/>
        <v>82116224.729999989</v>
      </c>
      <c r="S218" s="454"/>
      <c r="T218" s="454"/>
    </row>
    <row r="219" spans="1:21" s="13" customFormat="1" ht="40.9" customHeight="1">
      <c r="A219" s="401" t="s">
        <v>432</v>
      </c>
      <c r="B219" s="402"/>
      <c r="C219" s="402"/>
      <c r="D219" s="449"/>
      <c r="E219" s="449"/>
      <c r="F219" s="449"/>
      <c r="G219" s="449"/>
      <c r="H219" s="449"/>
      <c r="I219" s="449"/>
      <c r="J219" s="449"/>
      <c r="K219" s="449"/>
      <c r="L219" s="449"/>
      <c r="M219" s="449"/>
      <c r="N219" s="449"/>
      <c r="O219" s="449"/>
      <c r="P219" s="449"/>
      <c r="Q219" s="449"/>
      <c r="R219" s="449"/>
      <c r="S219" s="449"/>
      <c r="T219" s="450"/>
      <c r="U219" s="12"/>
    </row>
    <row r="220" spans="1:21" ht="18">
      <c r="A220" s="404" t="s">
        <v>66</v>
      </c>
      <c r="B220" s="404"/>
      <c r="C220" s="404"/>
      <c r="D220" s="404"/>
      <c r="E220" s="404"/>
      <c r="F220" s="404"/>
      <c r="G220" s="404"/>
      <c r="H220" s="404"/>
      <c r="I220" s="404"/>
      <c r="J220" s="404"/>
      <c r="K220" s="404" t="s">
        <v>67</v>
      </c>
      <c r="L220" s="404"/>
      <c r="M220" s="404"/>
      <c r="N220" s="404"/>
      <c r="O220" s="404"/>
      <c r="P220" s="404"/>
      <c r="Q220" s="404"/>
      <c r="R220" s="404"/>
      <c r="S220" s="404"/>
      <c r="T220" s="404"/>
      <c r="U220"/>
    </row>
    <row r="221" spans="1:21" ht="51.75" customHeight="1">
      <c r="A221" s="451" t="s">
        <v>369</v>
      </c>
      <c r="B221" s="451"/>
      <c r="C221" s="451"/>
      <c r="D221" s="451"/>
      <c r="E221" s="451"/>
      <c r="F221" s="451"/>
      <c r="G221" s="451"/>
      <c r="H221" s="451"/>
      <c r="I221" s="451"/>
      <c r="J221" s="451"/>
      <c r="K221" s="452" t="s">
        <v>444</v>
      </c>
      <c r="L221" s="452"/>
      <c r="M221" s="452"/>
      <c r="N221" s="452"/>
      <c r="O221" s="452"/>
      <c r="P221" s="452"/>
      <c r="Q221" s="452"/>
      <c r="R221" s="452"/>
      <c r="S221" s="452"/>
      <c r="T221" s="452"/>
      <c r="U221"/>
    </row>
    <row r="222" spans="1:21" ht="18">
      <c r="A222" s="404" t="s">
        <v>69</v>
      </c>
      <c r="B222" s="404"/>
      <c r="C222" s="404"/>
      <c r="D222" s="404"/>
      <c r="E222" s="404"/>
      <c r="F222" s="404"/>
      <c r="G222" s="404"/>
      <c r="H222" s="404"/>
      <c r="I222" s="404"/>
      <c r="J222" s="404"/>
      <c r="K222" s="404" t="s">
        <v>313</v>
      </c>
      <c r="L222" s="404"/>
      <c r="M222" s="404"/>
      <c r="N222" s="404"/>
      <c r="O222" s="404"/>
      <c r="P222" s="404"/>
      <c r="Q222" s="404"/>
      <c r="R222" s="404"/>
      <c r="S222" s="404"/>
      <c r="T222" s="404"/>
      <c r="U222"/>
    </row>
    <row r="223" spans="1:21" ht="198" customHeight="1">
      <c r="A223" s="457" t="s">
        <v>443</v>
      </c>
      <c r="B223" s="458"/>
      <c r="C223" s="458"/>
      <c r="D223" s="458"/>
      <c r="E223" s="458"/>
      <c r="F223" s="458"/>
      <c r="G223" s="458"/>
      <c r="H223" s="458"/>
      <c r="I223" s="458"/>
      <c r="J223" s="458"/>
      <c r="K223" s="455" t="s">
        <v>471</v>
      </c>
      <c r="L223" s="455"/>
      <c r="M223" s="455"/>
      <c r="N223" s="455"/>
      <c r="O223" s="455"/>
      <c r="P223" s="455"/>
      <c r="Q223" s="455"/>
      <c r="R223" s="455"/>
      <c r="S223" s="455"/>
      <c r="T223" s="456"/>
      <c r="U223"/>
    </row>
    <row r="224" spans="1:21" ht="6.75" customHeight="1">
      <c r="A224" s="448"/>
      <c r="B224" s="448"/>
      <c r="C224" s="448"/>
      <c r="D224" s="448"/>
      <c r="E224" s="448"/>
      <c r="F224" s="448"/>
      <c r="G224" s="448"/>
      <c r="H224" s="448"/>
      <c r="I224" s="448"/>
      <c r="J224" s="448"/>
      <c r="K224" s="448"/>
      <c r="L224" s="448"/>
      <c r="M224" s="448"/>
      <c r="N224" s="448"/>
      <c r="O224" s="448"/>
      <c r="P224" s="448"/>
      <c r="Q224" s="246"/>
      <c r="R224" s="233"/>
      <c r="S224" s="233"/>
      <c r="T224" s="233"/>
      <c r="U224"/>
    </row>
    <row r="225" spans="1:23">
      <c r="A225" s="399" t="s">
        <v>17</v>
      </c>
      <c r="B225" s="399"/>
      <c r="C225" s="399"/>
      <c r="D225" s="399"/>
      <c r="E225" s="399"/>
      <c r="F225" s="399"/>
      <c r="G225" s="399"/>
      <c r="H225" s="399"/>
      <c r="I225" s="399"/>
      <c r="J225" s="399"/>
      <c r="K225" s="399"/>
      <c r="L225" s="399"/>
      <c r="M225" s="399"/>
      <c r="N225" s="399"/>
      <c r="O225" s="399"/>
      <c r="P225" s="399"/>
      <c r="Q225" s="399"/>
      <c r="R225" s="399"/>
      <c r="S225" s="399"/>
      <c r="T225" s="399"/>
      <c r="U225"/>
    </row>
    <row r="226" spans="1:23" ht="18">
      <c r="A226" s="426" t="s">
        <v>18</v>
      </c>
      <c r="B226" s="426"/>
      <c r="C226" s="426"/>
      <c r="D226" s="426"/>
      <c r="E226" s="426" t="s">
        <v>20</v>
      </c>
      <c r="F226" s="426"/>
      <c r="G226" s="426"/>
      <c r="H226" s="426"/>
      <c r="I226" s="426" t="s">
        <v>22</v>
      </c>
      <c r="J226" s="426"/>
      <c r="K226" s="426"/>
      <c r="L226" s="426"/>
      <c r="M226" s="426"/>
      <c r="N226" s="426"/>
      <c r="O226" s="426"/>
      <c r="P226" s="426"/>
      <c r="Q226" s="426" t="s">
        <v>24</v>
      </c>
      <c r="R226" s="426"/>
      <c r="S226" s="426"/>
      <c r="T226" s="426"/>
      <c r="U226"/>
    </row>
    <row r="227" spans="1:23" ht="15" customHeight="1">
      <c r="A227" s="421" t="s">
        <v>19</v>
      </c>
      <c r="B227" s="421"/>
      <c r="C227" s="421"/>
      <c r="D227" s="421"/>
      <c r="E227" s="422" t="s">
        <v>21</v>
      </c>
      <c r="F227" s="422"/>
      <c r="G227" s="422"/>
      <c r="H227" s="422"/>
      <c r="I227" s="421" t="s">
        <v>23</v>
      </c>
      <c r="J227" s="421"/>
      <c r="K227" s="421"/>
      <c r="L227" s="421"/>
      <c r="M227" s="421"/>
      <c r="N227" s="421"/>
      <c r="O227" s="421"/>
      <c r="P227" s="421"/>
      <c r="Q227" s="421" t="s">
        <v>25</v>
      </c>
      <c r="R227" s="421"/>
      <c r="S227" s="421"/>
      <c r="T227" s="421"/>
      <c r="U227"/>
    </row>
    <row r="228" spans="1:23" ht="14.45" hidden="1" customHeight="1">
      <c r="A228" s="234"/>
      <c r="B228" s="234"/>
      <c r="C228" s="234"/>
      <c r="D228" s="234"/>
      <c r="E228" s="235"/>
      <c r="F228" s="235"/>
      <c r="G228" s="235"/>
      <c r="H228" s="235"/>
      <c r="I228" s="236"/>
      <c r="J228" s="236"/>
      <c r="K228" s="236"/>
      <c r="L228" s="236"/>
      <c r="M228" s="236"/>
      <c r="N228" s="236"/>
      <c r="O228" s="236"/>
      <c r="P228" s="236"/>
      <c r="Q228" s="236"/>
      <c r="R228" s="236"/>
      <c r="S228" s="236"/>
      <c r="T228" s="233"/>
      <c r="U228"/>
    </row>
    <row r="229" spans="1:23" s="28" customFormat="1" ht="34.5" customHeight="1">
      <c r="A229" s="446" t="s">
        <v>72</v>
      </c>
      <c r="B229" s="446" t="s">
        <v>73</v>
      </c>
      <c r="C229" s="397" t="s">
        <v>46</v>
      </c>
      <c r="D229" s="446" t="s">
        <v>28</v>
      </c>
      <c r="E229" s="447" t="s">
        <v>33</v>
      </c>
      <c r="F229" s="447" t="s">
        <v>34</v>
      </c>
      <c r="G229" s="447" t="s">
        <v>35</v>
      </c>
      <c r="H229" s="447" t="s">
        <v>36</v>
      </c>
      <c r="I229" s="447" t="s">
        <v>37</v>
      </c>
      <c r="J229" s="447" t="s">
        <v>38</v>
      </c>
      <c r="K229" s="447" t="s">
        <v>39</v>
      </c>
      <c r="L229" s="447" t="s">
        <v>40</v>
      </c>
      <c r="M229" s="447" t="s">
        <v>41</v>
      </c>
      <c r="N229" s="447" t="s">
        <v>47</v>
      </c>
      <c r="O229" s="447" t="s">
        <v>42</v>
      </c>
      <c r="P229" s="447" t="s">
        <v>43</v>
      </c>
      <c r="Q229" s="446" t="s">
        <v>74</v>
      </c>
      <c r="R229" s="446" t="s">
        <v>75</v>
      </c>
      <c r="S229" s="446" t="s">
        <v>76</v>
      </c>
      <c r="T229" s="446"/>
    </row>
    <row r="230" spans="1:23" s="28" customFormat="1" ht="22.5" customHeight="1">
      <c r="A230" s="446"/>
      <c r="B230" s="446"/>
      <c r="C230" s="397"/>
      <c r="D230" s="446"/>
      <c r="E230" s="447"/>
      <c r="F230" s="447"/>
      <c r="G230" s="447"/>
      <c r="H230" s="447"/>
      <c r="I230" s="447"/>
      <c r="J230" s="447"/>
      <c r="K230" s="447"/>
      <c r="L230" s="447"/>
      <c r="M230" s="447"/>
      <c r="N230" s="447"/>
      <c r="O230" s="447"/>
      <c r="P230" s="447"/>
      <c r="Q230" s="446"/>
      <c r="R230" s="446"/>
      <c r="S230" s="282" t="s">
        <v>30</v>
      </c>
      <c r="T230" s="282" t="s">
        <v>77</v>
      </c>
      <c r="W230" s="226"/>
    </row>
    <row r="231" spans="1:23" ht="50.1" customHeight="1">
      <c r="A231" s="388">
        <v>1</v>
      </c>
      <c r="B231" s="416" t="s">
        <v>375</v>
      </c>
      <c r="C231" s="378" t="s">
        <v>31</v>
      </c>
      <c r="D231" s="359" t="str">
        <f>[1]PBR!$F$105</f>
        <v>Reuniones</v>
      </c>
      <c r="E231" s="335">
        <v>4</v>
      </c>
      <c r="F231" s="335">
        <v>4</v>
      </c>
      <c r="G231" s="335">
        <v>4</v>
      </c>
      <c r="H231" s="335">
        <v>4</v>
      </c>
      <c r="I231" s="335">
        <v>4</v>
      </c>
      <c r="J231" s="335">
        <v>10</v>
      </c>
      <c r="K231" s="335">
        <v>10</v>
      </c>
      <c r="L231" s="335">
        <v>7</v>
      </c>
      <c r="M231" s="335">
        <v>7</v>
      </c>
      <c r="N231" s="335">
        <v>7</v>
      </c>
      <c r="O231" s="335">
        <v>9</v>
      </c>
      <c r="P231" s="335">
        <v>9</v>
      </c>
      <c r="Q231" s="392">
        <v>710733</v>
      </c>
      <c r="R231" s="284">
        <f t="shared" ref="R231:R274" si="31">SUM(E231:P231)</f>
        <v>79</v>
      </c>
      <c r="S231" s="391" t="str">
        <f>'[1]MIR D.O.'!$E$30</f>
        <v>Actividades Realizadas de la Direción Operativa / Actividades Programadas de la Direción Operativa * 100</v>
      </c>
      <c r="T231" s="391" t="s">
        <v>370</v>
      </c>
      <c r="U231" s="441" t="s">
        <v>370</v>
      </c>
      <c r="V231" s="433" t="s">
        <v>371</v>
      </c>
      <c r="W231" s="226"/>
    </row>
    <row r="232" spans="1:23" ht="50.1" customHeight="1">
      <c r="A232" s="388"/>
      <c r="B232" s="416"/>
      <c r="C232" s="378"/>
      <c r="D232" s="359" t="s">
        <v>79</v>
      </c>
      <c r="E232" s="336">
        <v>1059723.4899999998</v>
      </c>
      <c r="F232" s="336">
        <v>891229.25999999989</v>
      </c>
      <c r="G232" s="336">
        <v>1497840.0100000002</v>
      </c>
      <c r="H232" s="336">
        <v>918703.35000000009</v>
      </c>
      <c r="I232" s="336">
        <v>925740.38000000024</v>
      </c>
      <c r="J232" s="336">
        <v>1688779.5400000005</v>
      </c>
      <c r="K232" s="337">
        <v>1701859.17</v>
      </c>
      <c r="L232" s="337">
        <v>894484.93999999983</v>
      </c>
      <c r="M232" s="337">
        <v>1607059.0900000003</v>
      </c>
      <c r="N232" s="337">
        <v>960780.37999999989</v>
      </c>
      <c r="O232" s="337">
        <v>1051069.4799999997</v>
      </c>
      <c r="P232" s="337">
        <v>2556770.1100000003</v>
      </c>
      <c r="Q232" s="392"/>
      <c r="R232" s="286">
        <f t="shared" si="31"/>
        <v>15754039.199999999</v>
      </c>
      <c r="S232" s="391"/>
      <c r="T232" s="391"/>
      <c r="U232" s="441"/>
      <c r="V232" s="433"/>
    </row>
    <row r="233" spans="1:23" ht="21.75" customHeight="1">
      <c r="A233" s="388"/>
      <c r="B233" s="416"/>
      <c r="C233" s="381" t="s">
        <v>395</v>
      </c>
      <c r="D233" s="366" t="s">
        <v>376</v>
      </c>
      <c r="E233" s="338">
        <v>5</v>
      </c>
      <c r="F233" s="338">
        <v>6</v>
      </c>
      <c r="G233" s="338">
        <v>7</v>
      </c>
      <c r="H233" s="338">
        <v>8</v>
      </c>
      <c r="I233" s="338">
        <v>6</v>
      </c>
      <c r="J233" s="338">
        <v>8</v>
      </c>
      <c r="K233" s="339">
        <v>5</v>
      </c>
      <c r="L233" s="339">
        <v>7</v>
      </c>
      <c r="M233" s="339">
        <v>6</v>
      </c>
      <c r="N233" s="339">
        <v>7</v>
      </c>
      <c r="O233" s="339">
        <v>6</v>
      </c>
      <c r="P233" s="339">
        <v>5</v>
      </c>
      <c r="Q233" s="392"/>
      <c r="R233" s="340">
        <f t="shared" si="31"/>
        <v>76</v>
      </c>
      <c r="S233" s="434">
        <f>R233/R231</f>
        <v>0.96202531645569622</v>
      </c>
      <c r="T233" s="434">
        <f>R234/R232</f>
        <v>0.95042856691635003</v>
      </c>
      <c r="U233" s="442" t="e">
        <f>S234/S232</f>
        <v>#DIV/0!</v>
      </c>
      <c r="V233" s="247"/>
    </row>
    <row r="234" spans="1:23" ht="21.75" customHeight="1">
      <c r="A234" s="388"/>
      <c r="B234" s="416"/>
      <c r="C234" s="381"/>
      <c r="D234" s="366" t="s">
        <v>79</v>
      </c>
      <c r="E234" s="341">
        <v>1059723.4899999998</v>
      </c>
      <c r="F234" s="341">
        <v>891229.25999999989</v>
      </c>
      <c r="G234" s="341">
        <v>1497840.0100000002</v>
      </c>
      <c r="H234" s="341">
        <v>918703.35000000009</v>
      </c>
      <c r="I234" s="341">
        <v>925740.38000000024</v>
      </c>
      <c r="J234" s="341">
        <v>1688779.5400000005</v>
      </c>
      <c r="K234" s="342">
        <v>1701859.17</v>
      </c>
      <c r="L234" s="342">
        <v>894484.93999999983</v>
      </c>
      <c r="M234" s="342">
        <v>1607059.0900000003</v>
      </c>
      <c r="N234" s="342">
        <v>960780.37999999989</v>
      </c>
      <c r="O234" s="342">
        <v>1051069.4799999997</v>
      </c>
      <c r="P234" s="342">
        <v>1775819.8100000003</v>
      </c>
      <c r="Q234" s="392"/>
      <c r="R234" s="194">
        <f t="shared" si="31"/>
        <v>14973088.9</v>
      </c>
      <c r="S234" s="434"/>
      <c r="T234" s="434"/>
      <c r="U234" s="443"/>
      <c r="V234" s="247"/>
    </row>
    <row r="235" spans="1:23" ht="50.1" customHeight="1">
      <c r="A235" s="388">
        <v>2</v>
      </c>
      <c r="B235" s="416" t="s">
        <v>377</v>
      </c>
      <c r="C235" s="378" t="s">
        <v>31</v>
      </c>
      <c r="D235" s="359" t="str">
        <f>[1]PBR!$F$107</f>
        <v>Reuniones</v>
      </c>
      <c r="E235" s="284">
        <v>4</v>
      </c>
      <c r="F235" s="284">
        <v>4</v>
      </c>
      <c r="G235" s="284">
        <v>4</v>
      </c>
      <c r="H235" s="284">
        <v>4</v>
      </c>
      <c r="I235" s="284">
        <v>4</v>
      </c>
      <c r="J235" s="284">
        <v>6</v>
      </c>
      <c r="K235" s="284">
        <v>6</v>
      </c>
      <c r="L235" s="284">
        <v>5</v>
      </c>
      <c r="M235" s="284">
        <v>7</v>
      </c>
      <c r="N235" s="284">
        <v>7</v>
      </c>
      <c r="O235" s="284">
        <v>6</v>
      </c>
      <c r="P235" s="284">
        <v>5</v>
      </c>
      <c r="Q235" s="392">
        <v>710733</v>
      </c>
      <c r="R235" s="284">
        <f t="shared" si="31"/>
        <v>62</v>
      </c>
      <c r="S235" s="391" t="str">
        <f>'[1]MIR D.O.'!$E$31</f>
        <v>Actividades Realizadas de la Subdirección de agua potable / Actividades Programadas de la Subdirección de agua potable* 100</v>
      </c>
      <c r="T235" s="391" t="s">
        <v>370</v>
      </c>
      <c r="U235" s="441" t="s">
        <v>370</v>
      </c>
      <c r="V235" s="433">
        <v>4002</v>
      </c>
    </row>
    <row r="236" spans="1:23" ht="50.1" customHeight="1">
      <c r="A236" s="388"/>
      <c r="B236" s="416"/>
      <c r="C236" s="378"/>
      <c r="D236" s="359" t="s">
        <v>79</v>
      </c>
      <c r="E236" s="343">
        <v>305537.87</v>
      </c>
      <c r="F236" s="343">
        <v>332530.18000000011</v>
      </c>
      <c r="G236" s="343">
        <v>262800.78999999998</v>
      </c>
      <c r="H236" s="343">
        <v>256174.6</v>
      </c>
      <c r="I236" s="343">
        <v>269565.69</v>
      </c>
      <c r="J236" s="343">
        <v>288676.06000000011</v>
      </c>
      <c r="K236" s="343">
        <v>284715.87999999995</v>
      </c>
      <c r="L236" s="343">
        <v>467363.36999999988</v>
      </c>
      <c r="M236" s="343">
        <v>277511.13000000012</v>
      </c>
      <c r="N236" s="343">
        <v>286503.24</v>
      </c>
      <c r="O236" s="343">
        <v>266259.32000000012</v>
      </c>
      <c r="P236" s="343">
        <v>600412.15</v>
      </c>
      <c r="Q236" s="392"/>
      <c r="R236" s="286">
        <f t="shared" si="31"/>
        <v>3898050.2800000007</v>
      </c>
      <c r="S236" s="391"/>
      <c r="T236" s="391"/>
      <c r="U236" s="441"/>
      <c r="V236" s="433"/>
    </row>
    <row r="237" spans="1:23" ht="15.75">
      <c r="A237" s="388"/>
      <c r="B237" s="416"/>
      <c r="C237" s="381" t="s">
        <v>395</v>
      </c>
      <c r="D237" s="366" t="s">
        <v>376</v>
      </c>
      <c r="E237" s="344">
        <v>3</v>
      </c>
      <c r="F237" s="344">
        <v>5</v>
      </c>
      <c r="G237" s="344">
        <v>6</v>
      </c>
      <c r="H237" s="344">
        <v>5</v>
      </c>
      <c r="I237" s="344">
        <v>4</v>
      </c>
      <c r="J237" s="344">
        <v>6</v>
      </c>
      <c r="K237" s="344">
        <v>4</v>
      </c>
      <c r="L237" s="344">
        <v>5</v>
      </c>
      <c r="M237" s="344">
        <v>7</v>
      </c>
      <c r="N237" s="344">
        <v>6</v>
      </c>
      <c r="O237" s="344">
        <v>5</v>
      </c>
      <c r="P237" s="344">
        <v>4</v>
      </c>
      <c r="Q237" s="392"/>
      <c r="R237" s="340">
        <f t="shared" si="31"/>
        <v>60</v>
      </c>
      <c r="S237" s="434">
        <f>R237/R235</f>
        <v>0.967741935483871</v>
      </c>
      <c r="T237" s="434">
        <f>R238/R236</f>
        <v>0.95741150368127115</v>
      </c>
      <c r="U237" s="442" t="e">
        <f>S238/S236</f>
        <v>#DIV/0!</v>
      </c>
      <c r="V237" s="247"/>
    </row>
    <row r="238" spans="1:23" ht="15.75">
      <c r="A238" s="388"/>
      <c r="B238" s="416"/>
      <c r="C238" s="381"/>
      <c r="D238" s="366" t="s">
        <v>79</v>
      </c>
      <c r="E238" s="345">
        <v>305537.87</v>
      </c>
      <c r="F238" s="345">
        <v>332530.18000000011</v>
      </c>
      <c r="G238" s="345">
        <v>262800.78999999998</v>
      </c>
      <c r="H238" s="345">
        <v>256174.6</v>
      </c>
      <c r="I238" s="345">
        <v>269565.69</v>
      </c>
      <c r="J238" s="345">
        <v>288676.06000000011</v>
      </c>
      <c r="K238" s="345">
        <v>284715.87999999995</v>
      </c>
      <c r="L238" s="345">
        <v>467363.36999999988</v>
      </c>
      <c r="M238" s="345">
        <v>277511.13000000012</v>
      </c>
      <c r="N238" s="345">
        <v>286503.24</v>
      </c>
      <c r="O238" s="345">
        <v>266259.32000000012</v>
      </c>
      <c r="P238" s="345">
        <v>434400.05000000005</v>
      </c>
      <c r="Q238" s="392"/>
      <c r="R238" s="194">
        <f t="shared" si="31"/>
        <v>3732038.1800000006</v>
      </c>
      <c r="S238" s="434"/>
      <c r="T238" s="434"/>
      <c r="U238" s="443"/>
      <c r="V238" s="247"/>
    </row>
    <row r="239" spans="1:23" ht="50.1" customHeight="1">
      <c r="A239" s="388">
        <v>3</v>
      </c>
      <c r="B239" s="416" t="s">
        <v>378</v>
      </c>
      <c r="C239" s="378" t="s">
        <v>31</v>
      </c>
      <c r="D239" s="359" t="s">
        <v>468</v>
      </c>
      <c r="E239" s="346">
        <v>10000000</v>
      </c>
      <c r="F239" s="346">
        <v>8000000</v>
      </c>
      <c r="G239" s="346">
        <v>10000000</v>
      </c>
      <c r="H239" s="346">
        <v>9000000</v>
      </c>
      <c r="I239" s="346">
        <v>10000000</v>
      </c>
      <c r="J239" s="346">
        <v>9000000</v>
      </c>
      <c r="K239" s="346">
        <v>8000000</v>
      </c>
      <c r="L239" s="346">
        <v>8000000</v>
      </c>
      <c r="M239" s="346">
        <v>7000000</v>
      </c>
      <c r="N239" s="346">
        <v>7000000</v>
      </c>
      <c r="O239" s="346">
        <v>7000000</v>
      </c>
      <c r="P239" s="346">
        <v>8000000</v>
      </c>
      <c r="Q239" s="392">
        <v>710733</v>
      </c>
      <c r="R239" s="284">
        <f t="shared" si="31"/>
        <v>101000000</v>
      </c>
      <c r="S239" s="391" t="str">
        <f>'[1]MIR D.O.'!$E$32</f>
        <v>(Agua extraida año 2020) / (Agua extraida año 2020) * 100</v>
      </c>
      <c r="T239" s="391" t="s">
        <v>370</v>
      </c>
      <c r="U239" s="441" t="s">
        <v>370</v>
      </c>
      <c r="V239" s="433">
        <v>4003</v>
      </c>
    </row>
    <row r="240" spans="1:23" ht="50.1" customHeight="1">
      <c r="A240" s="388"/>
      <c r="B240" s="416"/>
      <c r="C240" s="378"/>
      <c r="D240" s="359" t="s">
        <v>79</v>
      </c>
      <c r="E240" s="343">
        <v>15402469.000000004</v>
      </c>
      <c r="F240" s="343">
        <v>15038486.250000002</v>
      </c>
      <c r="G240" s="343">
        <v>20748017.350000001</v>
      </c>
      <c r="H240" s="343">
        <v>14053937.440000001</v>
      </c>
      <c r="I240" s="343">
        <v>13603949.550000003</v>
      </c>
      <c r="J240" s="343">
        <v>15575210.98</v>
      </c>
      <c r="K240" s="343">
        <v>13743411.26</v>
      </c>
      <c r="L240" s="343">
        <v>12805654.399999999</v>
      </c>
      <c r="M240" s="343">
        <v>15094313.050000003</v>
      </c>
      <c r="N240" s="343">
        <v>12322585.530000003</v>
      </c>
      <c r="O240" s="343">
        <v>14137486.329999998</v>
      </c>
      <c r="P240" s="343">
        <v>18938843.509999998</v>
      </c>
      <c r="Q240" s="392"/>
      <c r="R240" s="286">
        <f t="shared" si="31"/>
        <v>181464364.65000004</v>
      </c>
      <c r="S240" s="391"/>
      <c r="T240" s="391"/>
      <c r="U240" s="441"/>
      <c r="V240" s="433"/>
    </row>
    <row r="241" spans="1:22" ht="23.25" customHeight="1">
      <c r="A241" s="388"/>
      <c r="B241" s="416"/>
      <c r="C241" s="381" t="s">
        <v>395</v>
      </c>
      <c r="D241" s="366" t="s">
        <v>468</v>
      </c>
      <c r="E241" s="345">
        <v>9622436.4000000004</v>
      </c>
      <c r="F241" s="345">
        <v>8411940</v>
      </c>
      <c r="G241" s="345">
        <v>9533479.0909090899</v>
      </c>
      <c r="H241" s="345">
        <v>5997234.5999999996</v>
      </c>
      <c r="I241" s="345">
        <v>7865111.1600000001</v>
      </c>
      <c r="J241" s="345">
        <v>6528599.2799999993</v>
      </c>
      <c r="K241" s="345">
        <v>8246714.4000000004</v>
      </c>
      <c r="L241" s="345">
        <v>7964898.0218181815</v>
      </c>
      <c r="M241" s="345">
        <v>8064882.7200000007</v>
      </c>
      <c r="N241" s="345">
        <v>9025740</v>
      </c>
      <c r="O241" s="345">
        <v>7576923.2400000002</v>
      </c>
      <c r="P241" s="345">
        <v>8286750.4680000003</v>
      </c>
      <c r="Q241" s="392"/>
      <c r="R241" s="340">
        <f t="shared" si="31"/>
        <v>97124709.380727261</v>
      </c>
      <c r="S241" s="434">
        <f>R241/R239</f>
        <v>0.96163078594779472</v>
      </c>
      <c r="T241" s="434">
        <f>R242/R240</f>
        <v>0.98848665591159091</v>
      </c>
      <c r="U241" s="442" t="e">
        <f>S242/S240</f>
        <v>#DIV/0!</v>
      </c>
      <c r="V241" s="247"/>
    </row>
    <row r="242" spans="1:22" ht="23.25" customHeight="1">
      <c r="A242" s="388"/>
      <c r="B242" s="416"/>
      <c r="C242" s="381"/>
      <c r="D242" s="366" t="s">
        <v>79</v>
      </c>
      <c r="E242" s="345">
        <v>15402469.000000004</v>
      </c>
      <c r="F242" s="345">
        <v>15038486.250000002</v>
      </c>
      <c r="G242" s="345">
        <v>20748017.350000001</v>
      </c>
      <c r="H242" s="345">
        <v>14053937.440000001</v>
      </c>
      <c r="I242" s="345">
        <v>13603949.550000003</v>
      </c>
      <c r="J242" s="345">
        <v>15575210.98</v>
      </c>
      <c r="K242" s="345">
        <v>13743411.26</v>
      </c>
      <c r="L242" s="345">
        <v>12805654.399999999</v>
      </c>
      <c r="M242" s="345">
        <v>15094313.050000003</v>
      </c>
      <c r="N242" s="345">
        <v>12322585.530000003</v>
      </c>
      <c r="O242" s="345">
        <v>14137486.329999998</v>
      </c>
      <c r="P242" s="345">
        <v>16849581.84</v>
      </c>
      <c r="Q242" s="392"/>
      <c r="R242" s="194">
        <f t="shared" si="31"/>
        <v>179375102.98000005</v>
      </c>
      <c r="S242" s="434"/>
      <c r="T242" s="434"/>
      <c r="U242" s="443"/>
      <c r="V242" s="247"/>
    </row>
    <row r="243" spans="1:22" ht="30" customHeight="1">
      <c r="A243" s="388">
        <v>4</v>
      </c>
      <c r="B243" s="445" t="s">
        <v>379</v>
      </c>
      <c r="C243" s="378" t="s">
        <v>31</v>
      </c>
      <c r="D243" s="359" t="str">
        <f>[1]PBR!$F$111</f>
        <v>Reportes</v>
      </c>
      <c r="E243" s="335">
        <v>590</v>
      </c>
      <c r="F243" s="335">
        <v>450</v>
      </c>
      <c r="G243" s="335">
        <v>590</v>
      </c>
      <c r="H243" s="335">
        <v>570</v>
      </c>
      <c r="I243" s="335">
        <v>590</v>
      </c>
      <c r="J243" s="335">
        <v>1800</v>
      </c>
      <c r="K243" s="335">
        <v>1800</v>
      </c>
      <c r="L243" s="335">
        <v>1800</v>
      </c>
      <c r="M243" s="335">
        <v>1800</v>
      </c>
      <c r="N243" s="335">
        <v>1800</v>
      </c>
      <c r="O243" s="335">
        <v>1800</v>
      </c>
      <c r="P243" s="335">
        <v>1800</v>
      </c>
      <c r="Q243" s="392">
        <v>710733</v>
      </c>
      <c r="R243" s="284">
        <f t="shared" si="31"/>
        <v>15390</v>
      </c>
      <c r="S243" s="391" t="str">
        <f>'[1]MIR D.O.'!$E$33</f>
        <v>(No reportes atendidos 2020) / (No de reportes recibidos 2020) * 100</v>
      </c>
      <c r="T243" s="391" t="s">
        <v>370</v>
      </c>
      <c r="U243" s="441" t="s">
        <v>370</v>
      </c>
      <c r="V243" s="433">
        <v>4004</v>
      </c>
    </row>
    <row r="244" spans="1:22" ht="30" customHeight="1">
      <c r="A244" s="388"/>
      <c r="B244" s="445"/>
      <c r="C244" s="378"/>
      <c r="D244" s="359" t="s">
        <v>79</v>
      </c>
      <c r="E244" s="343">
        <v>5561534.9500000011</v>
      </c>
      <c r="F244" s="343">
        <v>5389780.0700000012</v>
      </c>
      <c r="G244" s="343">
        <v>5148802.3499999978</v>
      </c>
      <c r="H244" s="343">
        <v>4961584.3500000015</v>
      </c>
      <c r="I244" s="343">
        <v>5211419.5299999975</v>
      </c>
      <c r="J244" s="343">
        <v>5626649.2999999989</v>
      </c>
      <c r="K244" s="343">
        <v>5057989.830000001</v>
      </c>
      <c r="L244" s="343">
        <v>5123956.6599999992</v>
      </c>
      <c r="M244" s="343">
        <v>4993098.1900000004</v>
      </c>
      <c r="N244" s="343">
        <v>5566011.2000000002</v>
      </c>
      <c r="O244" s="343">
        <v>6740788.9299999988</v>
      </c>
      <c r="P244" s="343">
        <v>10832243.820000006</v>
      </c>
      <c r="Q244" s="392"/>
      <c r="R244" s="286">
        <f t="shared" si="31"/>
        <v>70213859.179999992</v>
      </c>
      <c r="S244" s="391"/>
      <c r="T244" s="391"/>
      <c r="U244" s="441"/>
      <c r="V244" s="433"/>
    </row>
    <row r="245" spans="1:22" ht="21.75" customHeight="1">
      <c r="A245" s="388"/>
      <c r="B245" s="445"/>
      <c r="C245" s="381" t="s">
        <v>395</v>
      </c>
      <c r="D245" s="366" t="s">
        <v>82</v>
      </c>
      <c r="E245" s="344">
        <v>2118</v>
      </c>
      <c r="F245" s="344">
        <v>2110</v>
      </c>
      <c r="G245" s="344">
        <v>1123</v>
      </c>
      <c r="H245" s="344">
        <v>679</v>
      </c>
      <c r="I245" s="344">
        <v>1177</v>
      </c>
      <c r="J245" s="344">
        <v>1217</v>
      </c>
      <c r="K245" s="344">
        <v>1105</v>
      </c>
      <c r="L245" s="344">
        <v>1074</v>
      </c>
      <c r="M245" s="344">
        <v>1042</v>
      </c>
      <c r="N245" s="344">
        <v>1098</v>
      </c>
      <c r="O245" s="344">
        <v>985</v>
      </c>
      <c r="P245" s="344">
        <v>997</v>
      </c>
      <c r="Q245" s="392"/>
      <c r="R245" s="340">
        <f t="shared" si="31"/>
        <v>14725</v>
      </c>
      <c r="S245" s="434">
        <f>R245/R243</f>
        <v>0.95679012345679015</v>
      </c>
      <c r="T245" s="434">
        <f>R246/R244</f>
        <v>0.93924694839711842</v>
      </c>
      <c r="U245" s="442" t="e">
        <f>S246/S244</f>
        <v>#DIV/0!</v>
      </c>
      <c r="V245" s="247"/>
    </row>
    <row r="246" spans="1:22" ht="21.75" customHeight="1">
      <c r="A246" s="388"/>
      <c r="B246" s="445"/>
      <c r="C246" s="381"/>
      <c r="D246" s="366" t="s">
        <v>79</v>
      </c>
      <c r="E246" s="345">
        <v>5561534.9500000011</v>
      </c>
      <c r="F246" s="345">
        <v>5389780.0700000012</v>
      </c>
      <c r="G246" s="345">
        <v>5148802.3499999978</v>
      </c>
      <c r="H246" s="345">
        <v>4961584.3500000015</v>
      </c>
      <c r="I246" s="345">
        <v>5211419.5299999975</v>
      </c>
      <c r="J246" s="345">
        <v>5626649.2999999989</v>
      </c>
      <c r="K246" s="345">
        <v>5057989.83</v>
      </c>
      <c r="L246" s="345">
        <v>5123956.66</v>
      </c>
      <c r="M246" s="345">
        <v>4993098.1900000004</v>
      </c>
      <c r="N246" s="345">
        <v>5566011.2000000002</v>
      </c>
      <c r="O246" s="345">
        <v>6740788.9299999988</v>
      </c>
      <c r="P246" s="345">
        <v>6566537.6099999975</v>
      </c>
      <c r="Q246" s="392"/>
      <c r="R246" s="194">
        <f>SUM(E246:P246)</f>
        <v>65948152.969999991</v>
      </c>
      <c r="S246" s="434"/>
      <c r="T246" s="434"/>
      <c r="U246" s="443"/>
      <c r="V246" s="247"/>
    </row>
    <row r="247" spans="1:22" ht="35.25" customHeight="1">
      <c r="A247" s="388">
        <v>5</v>
      </c>
      <c r="B247" s="416" t="s">
        <v>380</v>
      </c>
      <c r="C247" s="378" t="s">
        <v>31</v>
      </c>
      <c r="D247" s="359" t="s">
        <v>468</v>
      </c>
      <c r="E247" s="347">
        <v>9000000</v>
      </c>
      <c r="F247" s="347">
        <v>8000000</v>
      </c>
      <c r="G247" s="347">
        <v>9000000</v>
      </c>
      <c r="H247" s="347">
        <v>8500000</v>
      </c>
      <c r="I247" s="347">
        <v>9000000</v>
      </c>
      <c r="J247" s="347">
        <v>9000000</v>
      </c>
      <c r="K247" s="347">
        <v>4000000</v>
      </c>
      <c r="L247" s="347">
        <v>5000000</v>
      </c>
      <c r="M247" s="347">
        <v>4000000</v>
      </c>
      <c r="N247" s="347">
        <v>5000000</v>
      </c>
      <c r="O247" s="347">
        <v>5000000</v>
      </c>
      <c r="P247" s="347">
        <v>4000000</v>
      </c>
      <c r="Q247" s="392">
        <v>710733</v>
      </c>
      <c r="R247" s="284">
        <f t="shared" si="31"/>
        <v>79500000</v>
      </c>
      <c r="S247" s="391" t="str">
        <f>'[1]MIR D.O.'!$E$34</f>
        <v>(Agua potabilizada año 2020) /Agua potabilizada año 2019) * 100</v>
      </c>
      <c r="T247" s="391" t="s">
        <v>370</v>
      </c>
      <c r="U247" s="441" t="s">
        <v>370</v>
      </c>
      <c r="V247" s="433">
        <v>4005</v>
      </c>
    </row>
    <row r="248" spans="1:22" ht="35.25" customHeight="1">
      <c r="A248" s="388"/>
      <c r="B248" s="416"/>
      <c r="C248" s="378"/>
      <c r="D248" s="359" t="s">
        <v>79</v>
      </c>
      <c r="E248" s="343">
        <v>4237818.7600000016</v>
      </c>
      <c r="F248" s="343">
        <v>4447653.9099999992</v>
      </c>
      <c r="G248" s="343">
        <v>4695736.3000000017</v>
      </c>
      <c r="H248" s="343">
        <v>4309049.3099999987</v>
      </c>
      <c r="I248" s="343">
        <v>4300761.1899999995</v>
      </c>
      <c r="J248" s="343">
        <v>3755641.9800000004</v>
      </c>
      <c r="K248" s="343">
        <v>4474284.4399999995</v>
      </c>
      <c r="L248" s="343">
        <v>5242687.6700000018</v>
      </c>
      <c r="M248" s="343">
        <v>5232351.7700000014</v>
      </c>
      <c r="N248" s="343">
        <v>4388400.4699999988</v>
      </c>
      <c r="O248" s="343">
        <v>4422490.7700000005</v>
      </c>
      <c r="P248" s="343">
        <v>12345871.100000003</v>
      </c>
      <c r="Q248" s="392"/>
      <c r="R248" s="286">
        <f t="shared" si="31"/>
        <v>61852747.670000009</v>
      </c>
      <c r="S248" s="391"/>
      <c r="T248" s="391"/>
      <c r="U248" s="441"/>
      <c r="V248" s="433"/>
    </row>
    <row r="249" spans="1:22" ht="15.75">
      <c r="A249" s="388"/>
      <c r="B249" s="416"/>
      <c r="C249" s="381" t="s">
        <v>395</v>
      </c>
      <c r="D249" s="366" t="str">
        <f>D247</f>
        <v>M3</v>
      </c>
      <c r="E249" s="344">
        <v>6109171.1871099751</v>
      </c>
      <c r="F249" s="344">
        <v>5869753.8801581021</v>
      </c>
      <c r="G249" s="344">
        <v>6358070.1600000001</v>
      </c>
      <c r="H249" s="344">
        <v>3672891.36</v>
      </c>
      <c r="I249" s="344">
        <v>5533500.959999999</v>
      </c>
      <c r="J249" s="344">
        <v>5111831.5199999996</v>
      </c>
      <c r="K249" s="344">
        <v>5731583.4000000004</v>
      </c>
      <c r="L249" s="344">
        <v>5727733.2000000002</v>
      </c>
      <c r="M249" s="344">
        <v>5755766.4000000004</v>
      </c>
      <c r="N249" s="344">
        <v>5249553.66</v>
      </c>
      <c r="O249" s="344">
        <v>6100893</v>
      </c>
      <c r="P249" s="344">
        <v>6100893</v>
      </c>
      <c r="Q249" s="392"/>
      <c r="R249" s="340">
        <f t="shared" si="31"/>
        <v>67321641.727268085</v>
      </c>
      <c r="S249" s="434">
        <f>R249/R247</f>
        <v>0.84681310348764882</v>
      </c>
      <c r="T249" s="434">
        <f>R250/R248</f>
        <v>0.88268948036532702</v>
      </c>
      <c r="U249" s="442" t="e">
        <f>S250/S248</f>
        <v>#DIV/0!</v>
      </c>
      <c r="V249" s="247"/>
    </row>
    <row r="250" spans="1:22" ht="15.75">
      <c r="A250" s="388"/>
      <c r="B250" s="416"/>
      <c r="C250" s="381"/>
      <c r="D250" s="366" t="str">
        <f>D248</f>
        <v>Monto</v>
      </c>
      <c r="E250" s="345">
        <v>4237818.7600000016</v>
      </c>
      <c r="F250" s="345">
        <v>4447653.9099999992</v>
      </c>
      <c r="G250" s="345">
        <v>4695736.3000000017</v>
      </c>
      <c r="H250" s="345">
        <v>4309049.3099999987</v>
      </c>
      <c r="I250" s="345">
        <v>4300761.1899999995</v>
      </c>
      <c r="J250" s="345">
        <v>3755641.9800000004</v>
      </c>
      <c r="K250" s="345">
        <v>4474284.4399999995</v>
      </c>
      <c r="L250" s="345">
        <v>5242687.6700000018</v>
      </c>
      <c r="M250" s="345">
        <v>5232351.7700000014</v>
      </c>
      <c r="N250" s="345">
        <v>4388400.4699999988</v>
      </c>
      <c r="O250" s="345">
        <v>4422490.7700000005</v>
      </c>
      <c r="P250" s="345">
        <v>5089893.129999999</v>
      </c>
      <c r="Q250" s="392"/>
      <c r="R250" s="194">
        <f t="shared" si="31"/>
        <v>54596769.700000003</v>
      </c>
      <c r="S250" s="434"/>
      <c r="T250" s="434"/>
      <c r="U250" s="443"/>
      <c r="V250" s="247"/>
    </row>
    <row r="251" spans="1:22" ht="35.25" customHeight="1">
      <c r="A251" s="388">
        <v>6</v>
      </c>
      <c r="B251" s="416" t="s">
        <v>381</v>
      </c>
      <c r="C251" s="378" t="s">
        <v>31</v>
      </c>
      <c r="D251" s="359" t="s">
        <v>465</v>
      </c>
      <c r="E251" s="335">
        <v>100</v>
      </c>
      <c r="F251" s="335">
        <v>80</v>
      </c>
      <c r="G251" s="335">
        <v>100</v>
      </c>
      <c r="H251" s="335">
        <v>90</v>
      </c>
      <c r="I251" s="335">
        <v>100</v>
      </c>
      <c r="J251" s="335">
        <v>90</v>
      </c>
      <c r="K251" s="335">
        <v>100</v>
      </c>
      <c r="L251" s="335">
        <v>100</v>
      </c>
      <c r="M251" s="335">
        <v>90</v>
      </c>
      <c r="N251" s="335">
        <v>65</v>
      </c>
      <c r="O251" s="335">
        <v>65</v>
      </c>
      <c r="P251" s="335">
        <v>65</v>
      </c>
      <c r="Q251" s="392">
        <v>710733</v>
      </c>
      <c r="R251" s="284">
        <f t="shared" si="31"/>
        <v>1045</v>
      </c>
      <c r="S251" s="391" t="str">
        <f>'[1]MIR D.O.'!$E$35</f>
        <v>(Mantenimientos preventivos año 2020) /Mantenimientos preventivos año 2019) * 100</v>
      </c>
      <c r="T251" s="391" t="s">
        <v>370</v>
      </c>
      <c r="U251" s="441" t="s">
        <v>370</v>
      </c>
      <c r="V251" s="433">
        <v>4007</v>
      </c>
    </row>
    <row r="252" spans="1:22" ht="35.25" customHeight="1">
      <c r="A252" s="388"/>
      <c r="B252" s="416"/>
      <c r="C252" s="378"/>
      <c r="D252" s="359" t="s">
        <v>79</v>
      </c>
      <c r="E252" s="343">
        <v>1858384.1099999992</v>
      </c>
      <c r="F252" s="343">
        <v>2194595.7600000002</v>
      </c>
      <c r="G252" s="343">
        <v>3034380.8</v>
      </c>
      <c r="H252" s="343">
        <v>1959829.1000000003</v>
      </c>
      <c r="I252" s="343">
        <v>2359418.3099999996</v>
      </c>
      <c r="J252" s="343">
        <v>1876354.76</v>
      </c>
      <c r="K252" s="343">
        <v>2178199.33</v>
      </c>
      <c r="L252" s="343">
        <v>1983731.9299999997</v>
      </c>
      <c r="M252" s="343">
        <v>2539006.4700000007</v>
      </c>
      <c r="N252" s="343">
        <v>2004073.08</v>
      </c>
      <c r="O252" s="343">
        <v>1974430.8800000001</v>
      </c>
      <c r="P252" s="343">
        <v>3920110.2200000007</v>
      </c>
      <c r="Q252" s="392"/>
      <c r="R252" s="286">
        <f t="shared" si="31"/>
        <v>27882514.75</v>
      </c>
      <c r="S252" s="391"/>
      <c r="T252" s="391"/>
      <c r="U252" s="441"/>
      <c r="V252" s="433"/>
    </row>
    <row r="253" spans="1:22" ht="15.75">
      <c r="A253" s="388"/>
      <c r="B253" s="416"/>
      <c r="C253" s="381" t="s">
        <v>395</v>
      </c>
      <c r="D253" s="366" t="s">
        <v>466</v>
      </c>
      <c r="E253" s="344">
        <v>95</v>
      </c>
      <c r="F253" s="344">
        <v>87</v>
      </c>
      <c r="G253" s="344">
        <v>99</v>
      </c>
      <c r="H253" s="344">
        <v>94</v>
      </c>
      <c r="I253" s="344">
        <v>85</v>
      </c>
      <c r="J253" s="344">
        <v>60</v>
      </c>
      <c r="K253" s="344">
        <v>65</v>
      </c>
      <c r="L253" s="344">
        <v>60</v>
      </c>
      <c r="M253" s="344">
        <v>55</v>
      </c>
      <c r="N253" s="344">
        <v>69</v>
      </c>
      <c r="O253" s="344">
        <v>72</v>
      </c>
      <c r="P253" s="344">
        <v>65</v>
      </c>
      <c r="Q253" s="392"/>
      <c r="R253" s="340">
        <f t="shared" si="31"/>
        <v>906</v>
      </c>
      <c r="S253" s="434">
        <f>R253/R251</f>
        <v>0.8669856459330143</v>
      </c>
      <c r="T253" s="434">
        <f>R254/R252</f>
        <v>0.9434444025533959</v>
      </c>
      <c r="U253" s="442" t="e">
        <f>S254/S252</f>
        <v>#DIV/0!</v>
      </c>
      <c r="V253" s="247"/>
    </row>
    <row r="254" spans="1:22" ht="15.75">
      <c r="A254" s="388"/>
      <c r="B254" s="416"/>
      <c r="C254" s="381"/>
      <c r="D254" s="366" t="s">
        <v>79</v>
      </c>
      <c r="E254" s="345">
        <v>1858384.1099999992</v>
      </c>
      <c r="F254" s="345">
        <v>2194595.7600000002</v>
      </c>
      <c r="G254" s="345">
        <v>3034380.8</v>
      </c>
      <c r="H254" s="345">
        <v>1959829.1000000003</v>
      </c>
      <c r="I254" s="345">
        <v>2359418.3099999996</v>
      </c>
      <c r="J254" s="345">
        <v>1876354.76</v>
      </c>
      <c r="K254" s="345">
        <v>2178199.33</v>
      </c>
      <c r="L254" s="345">
        <v>1983731.9299999997</v>
      </c>
      <c r="M254" s="345">
        <v>2539006.4700000007</v>
      </c>
      <c r="N254" s="345">
        <v>2004073.08</v>
      </c>
      <c r="O254" s="345">
        <v>1974430.8800000001</v>
      </c>
      <c r="P254" s="345">
        <v>2343197.9400000004</v>
      </c>
      <c r="Q254" s="392"/>
      <c r="R254" s="194">
        <f t="shared" si="31"/>
        <v>26305602.469999999</v>
      </c>
      <c r="S254" s="434"/>
      <c r="T254" s="434"/>
      <c r="U254" s="443"/>
      <c r="V254" s="247"/>
    </row>
    <row r="255" spans="1:22" ht="50.1" customHeight="1">
      <c r="A255" s="388">
        <v>7</v>
      </c>
      <c r="B255" s="416" t="s">
        <v>382</v>
      </c>
      <c r="C255" s="378" t="s">
        <v>31</v>
      </c>
      <c r="D255" s="359" t="s">
        <v>373</v>
      </c>
      <c r="E255" s="284">
        <v>20</v>
      </c>
      <c r="F255" s="284">
        <v>20</v>
      </c>
      <c r="G255" s="284">
        <v>20</v>
      </c>
      <c r="H255" s="284">
        <v>20</v>
      </c>
      <c r="I255" s="284">
        <v>20</v>
      </c>
      <c r="J255" s="284">
        <v>45</v>
      </c>
      <c r="K255" s="284">
        <v>50</v>
      </c>
      <c r="L255" s="284">
        <v>50</v>
      </c>
      <c r="M255" s="284">
        <v>50</v>
      </c>
      <c r="N255" s="284">
        <v>60</v>
      </c>
      <c r="O255" s="284">
        <v>60</v>
      </c>
      <c r="P255" s="284">
        <v>60</v>
      </c>
      <c r="Q255" s="392">
        <v>710733</v>
      </c>
      <c r="R255" s="284">
        <f t="shared" si="31"/>
        <v>475</v>
      </c>
      <c r="S255" s="391" t="str">
        <f>'[1]MIR D.O.'!$E$36</f>
        <v>(Mantenimientos preventivos año 2020) /Mantenimientos preventivos año 2019) * 100</v>
      </c>
      <c r="T255" s="391" t="s">
        <v>370</v>
      </c>
      <c r="U255" s="441" t="s">
        <v>370</v>
      </c>
      <c r="V255" s="433" t="s">
        <v>372</v>
      </c>
    </row>
    <row r="256" spans="1:22" ht="50.1" customHeight="1">
      <c r="A256" s="388"/>
      <c r="B256" s="416"/>
      <c r="C256" s="378"/>
      <c r="D256" s="359" t="s">
        <v>79</v>
      </c>
      <c r="E256" s="343">
        <v>956681.27000000014</v>
      </c>
      <c r="F256" s="343">
        <v>912087.9</v>
      </c>
      <c r="G256" s="343">
        <v>900711.16999999969</v>
      </c>
      <c r="H256" s="343">
        <v>902206.76</v>
      </c>
      <c r="I256" s="343">
        <v>843914.76000000013</v>
      </c>
      <c r="J256" s="343">
        <v>905042.5399999998</v>
      </c>
      <c r="K256" s="343">
        <v>847082.63000000024</v>
      </c>
      <c r="L256" s="343">
        <v>831574.24000000011</v>
      </c>
      <c r="M256" s="343">
        <v>902822.16</v>
      </c>
      <c r="N256" s="343">
        <v>968771.57999999961</v>
      </c>
      <c r="O256" s="343">
        <v>862562.08000000007</v>
      </c>
      <c r="P256" s="343">
        <v>1865216.4699999993</v>
      </c>
      <c r="Q256" s="392"/>
      <c r="R256" s="286">
        <f t="shared" si="31"/>
        <v>11698673.559999999</v>
      </c>
      <c r="S256" s="391"/>
      <c r="T256" s="391"/>
      <c r="U256" s="441"/>
      <c r="V256" s="433"/>
    </row>
    <row r="257" spans="1:22" ht="18" customHeight="1">
      <c r="A257" s="388"/>
      <c r="B257" s="416"/>
      <c r="C257" s="381" t="s">
        <v>395</v>
      </c>
      <c r="D257" s="366" t="s">
        <v>373</v>
      </c>
      <c r="E257" s="344">
        <v>24</v>
      </c>
      <c r="F257" s="344">
        <v>30</v>
      </c>
      <c r="G257" s="344">
        <v>40</v>
      </c>
      <c r="H257" s="344">
        <v>35</v>
      </c>
      <c r="I257" s="344">
        <v>42</v>
      </c>
      <c r="J257" s="344">
        <v>39</v>
      </c>
      <c r="K257" s="344">
        <v>42</v>
      </c>
      <c r="L257" s="344">
        <v>35</v>
      </c>
      <c r="M257" s="344">
        <v>39</v>
      </c>
      <c r="N257" s="344">
        <v>45</v>
      </c>
      <c r="O257" s="344">
        <v>41</v>
      </c>
      <c r="P257" s="344">
        <v>36</v>
      </c>
      <c r="Q257" s="392"/>
      <c r="R257" s="340">
        <f t="shared" si="31"/>
        <v>448</v>
      </c>
      <c r="S257" s="434">
        <f>R257/R255</f>
        <v>0.94315789473684208</v>
      </c>
      <c r="T257" s="434">
        <f>R258/R256</f>
        <v>0.94943126270120504</v>
      </c>
      <c r="U257" s="442" t="e">
        <f>S258/S256</f>
        <v>#DIV/0!</v>
      </c>
      <c r="V257" s="247"/>
    </row>
    <row r="258" spans="1:22" ht="18" customHeight="1">
      <c r="A258" s="388"/>
      <c r="B258" s="416"/>
      <c r="C258" s="381"/>
      <c r="D258" s="366" t="s">
        <v>79</v>
      </c>
      <c r="E258" s="345">
        <v>956681.27000000014</v>
      </c>
      <c r="F258" s="345">
        <v>912087.9</v>
      </c>
      <c r="G258" s="345">
        <v>900711.16999999969</v>
      </c>
      <c r="H258" s="345">
        <v>902206.76</v>
      </c>
      <c r="I258" s="345">
        <v>843914.76000000013</v>
      </c>
      <c r="J258" s="345">
        <v>905042.5399999998</v>
      </c>
      <c r="K258" s="345">
        <v>847082.63000000024</v>
      </c>
      <c r="L258" s="345">
        <v>831574.24000000011</v>
      </c>
      <c r="M258" s="345">
        <v>902822.16</v>
      </c>
      <c r="N258" s="345">
        <v>968771.57999999961</v>
      </c>
      <c r="O258" s="345">
        <v>862562.08000000007</v>
      </c>
      <c r="P258" s="345">
        <v>1273629.3199999998</v>
      </c>
      <c r="Q258" s="392"/>
      <c r="R258" s="194">
        <f t="shared" si="31"/>
        <v>11107086.41</v>
      </c>
      <c r="S258" s="434"/>
      <c r="T258" s="434"/>
      <c r="U258" s="443"/>
      <c r="V258" s="247"/>
    </row>
    <row r="259" spans="1:22" ht="38.25" customHeight="1">
      <c r="A259" s="388">
        <v>8</v>
      </c>
      <c r="B259" s="445" t="s">
        <v>383</v>
      </c>
      <c r="C259" s="378" t="s">
        <v>31</v>
      </c>
      <c r="D259" s="359" t="str">
        <f>[1]PBR!$F$119</f>
        <v>Metros lineales</v>
      </c>
      <c r="E259" s="347">
        <v>13600</v>
      </c>
      <c r="F259" s="347">
        <v>12300</v>
      </c>
      <c r="G259" s="347">
        <v>13600</v>
      </c>
      <c r="H259" s="347">
        <v>13200</v>
      </c>
      <c r="I259" s="347">
        <v>13600</v>
      </c>
      <c r="J259" s="347">
        <v>11000</v>
      </c>
      <c r="K259" s="347">
        <v>11000</v>
      </c>
      <c r="L259" s="347">
        <v>11000</v>
      </c>
      <c r="M259" s="347">
        <v>11000</v>
      </c>
      <c r="N259" s="347">
        <v>11000</v>
      </c>
      <c r="O259" s="347">
        <v>11000</v>
      </c>
      <c r="P259" s="347">
        <v>11000</v>
      </c>
      <c r="Q259" s="392">
        <v>710733</v>
      </c>
      <c r="R259" s="284">
        <f t="shared" si="31"/>
        <v>143300</v>
      </c>
      <c r="S259" s="391" t="str">
        <f>'[1]MIR D.O.'!$E$37</f>
        <v>(No reportes atendidos 2020) / (No de reportes recibidos 2020) * 100</v>
      </c>
      <c r="T259" s="391" t="s">
        <v>370</v>
      </c>
      <c r="U259" s="441" t="s">
        <v>370</v>
      </c>
      <c r="V259" s="433">
        <v>4025</v>
      </c>
    </row>
    <row r="260" spans="1:22" ht="38.25" customHeight="1">
      <c r="A260" s="388"/>
      <c r="B260" s="445"/>
      <c r="C260" s="378"/>
      <c r="D260" s="359" t="s">
        <v>79</v>
      </c>
      <c r="E260" s="343">
        <v>4118765.8699999941</v>
      </c>
      <c r="F260" s="343">
        <v>3019169.1100000003</v>
      </c>
      <c r="G260" s="343">
        <v>3925092.3999999971</v>
      </c>
      <c r="H260" s="343">
        <v>3505849.5599999963</v>
      </c>
      <c r="I260" s="343">
        <v>3593499.4099999969</v>
      </c>
      <c r="J260" s="343">
        <v>3907560.9499999974</v>
      </c>
      <c r="K260" s="343">
        <v>3836179.6699999995</v>
      </c>
      <c r="L260" s="343">
        <v>3632190.2499999981</v>
      </c>
      <c r="M260" s="343">
        <v>3717655.1499999971</v>
      </c>
      <c r="N260" s="343">
        <v>3868662.2799999989</v>
      </c>
      <c r="O260" s="343">
        <v>4004347.0899999994</v>
      </c>
      <c r="P260" s="343">
        <v>9478572.6099999938</v>
      </c>
      <c r="Q260" s="392"/>
      <c r="R260" s="286">
        <f t="shared" si="31"/>
        <v>50607544.349999964</v>
      </c>
      <c r="S260" s="391"/>
      <c r="T260" s="391"/>
      <c r="U260" s="441"/>
      <c r="V260" s="433"/>
    </row>
    <row r="261" spans="1:22" ht="18" customHeight="1">
      <c r="A261" s="388"/>
      <c r="B261" s="445"/>
      <c r="C261" s="381" t="s">
        <v>395</v>
      </c>
      <c r="D261" s="366" t="s">
        <v>384</v>
      </c>
      <c r="E261" s="344">
        <v>11500</v>
      </c>
      <c r="F261" s="344">
        <v>10200</v>
      </c>
      <c r="G261" s="344">
        <v>10900</v>
      </c>
      <c r="H261" s="344">
        <v>9800</v>
      </c>
      <c r="I261" s="344">
        <v>11500</v>
      </c>
      <c r="J261" s="344">
        <v>10000</v>
      </c>
      <c r="K261" s="344">
        <v>12500</v>
      </c>
      <c r="L261" s="344">
        <v>11250</v>
      </c>
      <c r="M261" s="344">
        <v>10985</v>
      </c>
      <c r="N261" s="344">
        <v>11250</v>
      </c>
      <c r="O261" s="344">
        <v>9520</v>
      </c>
      <c r="P261" s="344">
        <v>8410</v>
      </c>
      <c r="Q261" s="392"/>
      <c r="R261" s="340">
        <f t="shared" si="31"/>
        <v>127815</v>
      </c>
      <c r="S261" s="434">
        <f>R261/R259</f>
        <v>0.89193998604326585</v>
      </c>
      <c r="T261" s="434">
        <f>R262/R260</f>
        <v>0.89733505711979888</v>
      </c>
      <c r="U261" s="442" t="e">
        <f>S262/S260</f>
        <v>#DIV/0!</v>
      </c>
      <c r="V261" s="247"/>
    </row>
    <row r="262" spans="1:22" ht="18" customHeight="1">
      <c r="A262" s="388"/>
      <c r="B262" s="445"/>
      <c r="C262" s="381"/>
      <c r="D262" s="366" t="s">
        <v>79</v>
      </c>
      <c r="E262" s="345">
        <v>4118765.8699999941</v>
      </c>
      <c r="F262" s="345">
        <v>3019169.1100000003</v>
      </c>
      <c r="G262" s="345">
        <v>3925092.3999999971</v>
      </c>
      <c r="H262" s="345">
        <v>3505849.5599999963</v>
      </c>
      <c r="I262" s="345">
        <v>3593499.4099999969</v>
      </c>
      <c r="J262" s="345">
        <v>3907560.9499999974</v>
      </c>
      <c r="K262" s="345">
        <v>3836179.6699999995</v>
      </c>
      <c r="L262" s="345">
        <v>3632190.2499999981</v>
      </c>
      <c r="M262" s="345">
        <v>3717655.1499999971</v>
      </c>
      <c r="N262" s="345">
        <v>3868662.2799999989</v>
      </c>
      <c r="O262" s="345">
        <v>4004347.0899999994</v>
      </c>
      <c r="P262" s="345">
        <v>4282951.9599999981</v>
      </c>
      <c r="Q262" s="392"/>
      <c r="R262" s="33">
        <f>SUM(E262:P262)</f>
        <v>45411923.699999973</v>
      </c>
      <c r="S262" s="434"/>
      <c r="T262" s="434"/>
      <c r="U262" s="443"/>
      <c r="V262" s="247"/>
    </row>
    <row r="263" spans="1:22" ht="50.1" customHeight="1">
      <c r="A263" s="388">
        <v>9</v>
      </c>
      <c r="B263" s="416" t="s">
        <v>385</v>
      </c>
      <c r="C263" s="378" t="s">
        <v>31</v>
      </c>
      <c r="D263" s="359" t="str">
        <f>[1]PBR!$F$121</f>
        <v>Reuniones</v>
      </c>
      <c r="E263" s="284">
        <v>4</v>
      </c>
      <c r="F263" s="284">
        <v>4</v>
      </c>
      <c r="G263" s="284">
        <v>4</v>
      </c>
      <c r="H263" s="284">
        <v>4</v>
      </c>
      <c r="I263" s="284">
        <v>4</v>
      </c>
      <c r="J263" s="284">
        <v>7</v>
      </c>
      <c r="K263" s="284">
        <v>7</v>
      </c>
      <c r="L263" s="284">
        <v>7</v>
      </c>
      <c r="M263" s="284">
        <v>7</v>
      </c>
      <c r="N263" s="284">
        <v>7</v>
      </c>
      <c r="O263" s="284">
        <v>7</v>
      </c>
      <c r="P263" s="284">
        <v>7</v>
      </c>
      <c r="Q263" s="392">
        <v>710733</v>
      </c>
      <c r="R263" s="284">
        <f t="shared" si="31"/>
        <v>69</v>
      </c>
      <c r="S263" s="391" t="str">
        <f>'[1]MIR D.O.'!$E$38</f>
        <v>Actividades Realizadas de la Subdirección de Saneamiento / Actividades Programadas de la Subdirección de Saneamiento * 100</v>
      </c>
      <c r="T263" s="391" t="s">
        <v>370</v>
      </c>
      <c r="U263" s="441" t="s">
        <v>370</v>
      </c>
      <c r="V263" s="433">
        <v>4009</v>
      </c>
    </row>
    <row r="264" spans="1:22" ht="50.1" customHeight="1">
      <c r="A264" s="388"/>
      <c r="B264" s="416"/>
      <c r="C264" s="378"/>
      <c r="D264" s="359" t="s">
        <v>79</v>
      </c>
      <c r="E264" s="343">
        <v>1740097.6899999997</v>
      </c>
      <c r="F264" s="343">
        <v>3797096.469999996</v>
      </c>
      <c r="G264" s="343">
        <v>2195179.9400000009</v>
      </c>
      <c r="H264" s="343">
        <v>1873780.4999999998</v>
      </c>
      <c r="I264" s="343">
        <v>1783458.3700000003</v>
      </c>
      <c r="J264" s="343">
        <v>3137665.1900000004</v>
      </c>
      <c r="K264" s="343">
        <v>1554292.3</v>
      </c>
      <c r="L264" s="343">
        <v>1601052.61</v>
      </c>
      <c r="M264" s="343">
        <v>1345403.2499999995</v>
      </c>
      <c r="N264" s="343">
        <v>1266170.8900000004</v>
      </c>
      <c r="O264" s="343">
        <v>1339878.1600000001</v>
      </c>
      <c r="P264" s="343">
        <v>4234923.879999998</v>
      </c>
      <c r="Q264" s="392"/>
      <c r="R264" s="286">
        <f t="shared" si="31"/>
        <v>25868999.249999996</v>
      </c>
      <c r="S264" s="391"/>
      <c r="T264" s="391"/>
      <c r="U264" s="441"/>
      <c r="V264" s="433"/>
    </row>
    <row r="265" spans="1:22" ht="15.75">
      <c r="A265" s="388"/>
      <c r="B265" s="416"/>
      <c r="C265" s="381" t="s">
        <v>395</v>
      </c>
      <c r="D265" s="366" t="s">
        <v>376</v>
      </c>
      <c r="E265" s="344">
        <v>6</v>
      </c>
      <c r="F265" s="344">
        <v>4</v>
      </c>
      <c r="G265" s="344">
        <v>6</v>
      </c>
      <c r="H265" s="344">
        <v>7</v>
      </c>
      <c r="I265" s="344">
        <v>5</v>
      </c>
      <c r="J265" s="344">
        <v>4</v>
      </c>
      <c r="K265" s="344">
        <v>5</v>
      </c>
      <c r="L265" s="344">
        <v>5</v>
      </c>
      <c r="M265" s="344">
        <v>4</v>
      </c>
      <c r="N265" s="344">
        <v>6</v>
      </c>
      <c r="O265" s="344">
        <v>5</v>
      </c>
      <c r="P265" s="344">
        <v>4</v>
      </c>
      <c r="Q265" s="392"/>
      <c r="R265" s="340">
        <f t="shared" si="31"/>
        <v>61</v>
      </c>
      <c r="S265" s="434">
        <f>R265/R263</f>
        <v>0.88405797101449279</v>
      </c>
      <c r="T265" s="434">
        <f>R266/R264</f>
        <v>0.89386692413313973</v>
      </c>
      <c r="U265" s="442" t="e">
        <f>S266/S264</f>
        <v>#DIV/0!</v>
      </c>
      <c r="V265" s="247"/>
    </row>
    <row r="266" spans="1:22" ht="15.75">
      <c r="A266" s="388"/>
      <c r="B266" s="416"/>
      <c r="C266" s="381"/>
      <c r="D266" s="366" t="s">
        <v>79</v>
      </c>
      <c r="E266" s="345">
        <v>1740097.6899999997</v>
      </c>
      <c r="F266" s="345">
        <v>3797096.469999996</v>
      </c>
      <c r="G266" s="345">
        <v>2195179.9400000009</v>
      </c>
      <c r="H266" s="345">
        <v>1873780.4999999998</v>
      </c>
      <c r="I266" s="345">
        <v>1783458.3700000003</v>
      </c>
      <c r="J266" s="345">
        <v>3137665.1900000004</v>
      </c>
      <c r="K266" s="345">
        <v>1554292.3</v>
      </c>
      <c r="L266" s="345">
        <v>1601052.61</v>
      </c>
      <c r="M266" s="345">
        <v>1345403.2499999995</v>
      </c>
      <c r="N266" s="345">
        <v>1266170.8900000004</v>
      </c>
      <c r="O266" s="345">
        <v>1339878.1600000001</v>
      </c>
      <c r="P266" s="345">
        <v>1489367.4199999995</v>
      </c>
      <c r="Q266" s="392"/>
      <c r="R266" s="194">
        <f t="shared" si="31"/>
        <v>23123442.789999995</v>
      </c>
      <c r="S266" s="434"/>
      <c r="T266" s="434"/>
      <c r="U266" s="443"/>
      <c r="V266" s="247"/>
    </row>
    <row r="267" spans="1:22" ht="50.1" customHeight="1">
      <c r="A267" s="388">
        <v>10</v>
      </c>
      <c r="B267" s="416" t="s">
        <v>386</v>
      </c>
      <c r="C267" s="378" t="s">
        <v>31</v>
      </c>
      <c r="D267" s="359" t="s">
        <v>374</v>
      </c>
      <c r="E267" s="284">
        <v>7</v>
      </c>
      <c r="F267" s="284">
        <v>7</v>
      </c>
      <c r="G267" s="284">
        <v>10</v>
      </c>
      <c r="H267" s="284">
        <v>7</v>
      </c>
      <c r="I267" s="284">
        <v>7</v>
      </c>
      <c r="J267" s="284">
        <v>15</v>
      </c>
      <c r="K267" s="284">
        <v>15</v>
      </c>
      <c r="L267" s="284">
        <v>15</v>
      </c>
      <c r="M267" s="284">
        <v>15</v>
      </c>
      <c r="N267" s="284">
        <v>15</v>
      </c>
      <c r="O267" s="284">
        <v>15</v>
      </c>
      <c r="P267" s="284">
        <v>15</v>
      </c>
      <c r="Q267" s="392">
        <v>710733</v>
      </c>
      <c r="R267" s="284">
        <f t="shared" si="31"/>
        <v>143</v>
      </c>
      <c r="S267" s="391" t="str">
        <f>'[1]MIR D.O.'!$E$38</f>
        <v>Actividades Realizadas de la Subdirección de Saneamiento / Actividades Programadas de la Subdirección de Saneamiento * 100</v>
      </c>
      <c r="T267" s="391" t="s">
        <v>370</v>
      </c>
      <c r="U267" s="441" t="s">
        <v>370</v>
      </c>
      <c r="V267" s="433">
        <v>4010</v>
      </c>
    </row>
    <row r="268" spans="1:22" ht="50.1" customHeight="1">
      <c r="A268" s="388"/>
      <c r="B268" s="416"/>
      <c r="C268" s="378"/>
      <c r="D268" s="359" t="s">
        <v>79</v>
      </c>
      <c r="E268" s="343">
        <v>3093881.939999999</v>
      </c>
      <c r="F268" s="343">
        <v>2602258.1699999995</v>
      </c>
      <c r="G268" s="343">
        <v>3041087.310000001</v>
      </c>
      <c r="H268" s="343">
        <v>2850794.7199999993</v>
      </c>
      <c r="I268" s="343">
        <v>3093776.8600000008</v>
      </c>
      <c r="J268" s="343">
        <v>3505025.5600000024</v>
      </c>
      <c r="K268" s="343">
        <v>3045122.2299999958</v>
      </c>
      <c r="L268" s="343">
        <v>3097369.1099999957</v>
      </c>
      <c r="M268" s="343">
        <v>3086793.5399999982</v>
      </c>
      <c r="N268" s="343">
        <v>3586369.149999999</v>
      </c>
      <c r="O268" s="343">
        <v>3050121.0099999979</v>
      </c>
      <c r="P268" s="343">
        <v>6600379.2100000093</v>
      </c>
      <c r="Q268" s="392"/>
      <c r="R268" s="286">
        <f t="shared" si="31"/>
        <v>40652978.810000002</v>
      </c>
      <c r="S268" s="391"/>
      <c r="T268" s="391"/>
      <c r="U268" s="441"/>
      <c r="V268" s="433"/>
    </row>
    <row r="269" spans="1:22" ht="22.5" customHeight="1">
      <c r="A269" s="388"/>
      <c r="B269" s="416"/>
      <c r="C269" s="381" t="s">
        <v>395</v>
      </c>
      <c r="D269" s="366" t="s">
        <v>374</v>
      </c>
      <c r="E269" s="345">
        <v>11</v>
      </c>
      <c r="F269" s="345">
        <v>11</v>
      </c>
      <c r="G269" s="344">
        <v>14</v>
      </c>
      <c r="H269" s="344">
        <v>13</v>
      </c>
      <c r="I269" s="344">
        <v>12</v>
      </c>
      <c r="J269" s="344">
        <v>14</v>
      </c>
      <c r="K269" s="344">
        <v>12</v>
      </c>
      <c r="L269" s="344">
        <v>12</v>
      </c>
      <c r="M269" s="344">
        <v>14</v>
      </c>
      <c r="N269" s="344">
        <v>10</v>
      </c>
      <c r="O269" s="344">
        <v>8</v>
      </c>
      <c r="P269" s="344">
        <v>8</v>
      </c>
      <c r="Q269" s="392"/>
      <c r="R269" s="340">
        <f t="shared" si="31"/>
        <v>139</v>
      </c>
      <c r="S269" s="434">
        <f>R269/R267</f>
        <v>0.97202797202797198</v>
      </c>
      <c r="T269" s="434">
        <f>R270/R268</f>
        <v>0.92613833456008898</v>
      </c>
      <c r="U269" s="442" t="e">
        <f>S270/S268</f>
        <v>#DIV/0!</v>
      </c>
      <c r="V269" s="247"/>
    </row>
    <row r="270" spans="1:22" ht="22.5" customHeight="1">
      <c r="A270" s="388"/>
      <c r="B270" s="416"/>
      <c r="C270" s="381"/>
      <c r="D270" s="366" t="s">
        <v>79</v>
      </c>
      <c r="E270" s="345">
        <v>3093881.939999999</v>
      </c>
      <c r="F270" s="345">
        <v>2602258.1699999995</v>
      </c>
      <c r="G270" s="345">
        <v>3041087.310000001</v>
      </c>
      <c r="H270" s="345">
        <v>2850794.7199999993</v>
      </c>
      <c r="I270" s="345">
        <v>3093776.8600000008</v>
      </c>
      <c r="J270" s="345">
        <v>3505025.5600000024</v>
      </c>
      <c r="K270" s="345">
        <v>3045122.2299999958</v>
      </c>
      <c r="L270" s="345">
        <v>3097369.1099999957</v>
      </c>
      <c r="M270" s="345">
        <v>3086793.5399999982</v>
      </c>
      <c r="N270" s="345">
        <v>3586369.149999999</v>
      </c>
      <c r="O270" s="345">
        <v>3050121.0099999979</v>
      </c>
      <c r="P270" s="345">
        <v>3597682.4899999984</v>
      </c>
      <c r="Q270" s="392"/>
      <c r="R270" s="194">
        <f t="shared" si="31"/>
        <v>37650282.089999989</v>
      </c>
      <c r="S270" s="434"/>
      <c r="T270" s="434"/>
      <c r="U270" s="443"/>
      <c r="V270" s="247"/>
    </row>
    <row r="271" spans="1:22" ht="19.5" customHeight="1">
      <c r="A271" s="388">
        <v>11</v>
      </c>
      <c r="B271" s="416" t="s">
        <v>387</v>
      </c>
      <c r="C271" s="378" t="s">
        <v>31</v>
      </c>
      <c r="D271" s="359" t="s">
        <v>469</v>
      </c>
      <c r="E271" s="335">
        <v>170</v>
      </c>
      <c r="F271" s="335">
        <v>160</v>
      </c>
      <c r="G271" s="335">
        <v>170</v>
      </c>
      <c r="H271" s="335">
        <v>160</v>
      </c>
      <c r="I271" s="335">
        <v>170</v>
      </c>
      <c r="J271" s="335">
        <v>160</v>
      </c>
      <c r="K271" s="335">
        <v>170</v>
      </c>
      <c r="L271" s="335">
        <v>170</v>
      </c>
      <c r="M271" s="335">
        <v>160</v>
      </c>
      <c r="N271" s="335">
        <v>170</v>
      </c>
      <c r="O271" s="335">
        <v>160</v>
      </c>
      <c r="P271" s="335">
        <v>170</v>
      </c>
      <c r="Q271" s="392">
        <v>6520</v>
      </c>
      <c r="R271" s="284">
        <f t="shared" si="31"/>
        <v>1990</v>
      </c>
      <c r="S271" s="391" t="str">
        <f>'[1]MIR D.O.'!$E$40</f>
        <v>(No reportes atendidos 2020) / (No de reportes recibidos 2020) * 100</v>
      </c>
      <c r="T271" s="391" t="s">
        <v>370</v>
      </c>
      <c r="U271" s="441" t="s">
        <v>370</v>
      </c>
      <c r="V271" s="433">
        <v>4035</v>
      </c>
    </row>
    <row r="272" spans="1:22" ht="19.5" customHeight="1">
      <c r="A272" s="388"/>
      <c r="B272" s="416"/>
      <c r="C272" s="378"/>
      <c r="D272" s="359" t="s">
        <v>79</v>
      </c>
      <c r="E272" s="343">
        <v>490151.57</v>
      </c>
      <c r="F272" s="343">
        <v>478289.20000000024</v>
      </c>
      <c r="G272" s="343">
        <v>451949.65000000014</v>
      </c>
      <c r="H272" s="343">
        <v>430776.11000000004</v>
      </c>
      <c r="I272" s="343">
        <v>448104.98999999993</v>
      </c>
      <c r="J272" s="343">
        <v>514689.45000000007</v>
      </c>
      <c r="K272" s="343">
        <v>509879.20000000007</v>
      </c>
      <c r="L272" s="343">
        <v>482010.43999999994</v>
      </c>
      <c r="M272" s="343">
        <v>600069.91999999993</v>
      </c>
      <c r="N272" s="343">
        <v>444660.68</v>
      </c>
      <c r="O272" s="343">
        <v>440870.27999999991</v>
      </c>
      <c r="P272" s="343">
        <v>1798273.32</v>
      </c>
      <c r="Q272" s="392"/>
      <c r="R272" s="286">
        <f t="shared" si="31"/>
        <v>7089724.8100000015</v>
      </c>
      <c r="S272" s="391"/>
      <c r="T272" s="391"/>
      <c r="U272" s="441"/>
      <c r="V272" s="433"/>
    </row>
    <row r="273" spans="1:25" ht="19.5" customHeight="1">
      <c r="A273" s="388"/>
      <c r="B273" s="416"/>
      <c r="C273" s="381" t="s">
        <v>395</v>
      </c>
      <c r="D273" s="366" t="s">
        <v>469</v>
      </c>
      <c r="E273" s="344">
        <v>180</v>
      </c>
      <c r="F273" s="344">
        <v>170</v>
      </c>
      <c r="G273" s="344">
        <v>180</v>
      </c>
      <c r="H273" s="344">
        <v>190</v>
      </c>
      <c r="I273" s="344">
        <v>200</v>
      </c>
      <c r="J273" s="344">
        <v>170</v>
      </c>
      <c r="K273" s="344">
        <v>158</v>
      </c>
      <c r="L273" s="344">
        <v>162</v>
      </c>
      <c r="M273" s="344">
        <v>155</v>
      </c>
      <c r="N273" s="344">
        <v>140</v>
      </c>
      <c r="O273" s="344">
        <v>144</v>
      </c>
      <c r="P273" s="344">
        <v>95</v>
      </c>
      <c r="Q273" s="392"/>
      <c r="R273" s="340">
        <f t="shared" si="31"/>
        <v>1944</v>
      </c>
      <c r="S273" s="434">
        <f>R273/R271</f>
        <v>0.97688442211055282</v>
      </c>
      <c r="T273" s="434">
        <f>R274/R272</f>
        <v>0.80195216914209122</v>
      </c>
      <c r="U273" s="442" t="e">
        <f>S274/S272</f>
        <v>#DIV/0!</v>
      </c>
      <c r="V273" s="247"/>
    </row>
    <row r="274" spans="1:25" ht="19.5" customHeight="1">
      <c r="A274" s="388"/>
      <c r="B274" s="416"/>
      <c r="C274" s="381"/>
      <c r="D274" s="366" t="s">
        <v>79</v>
      </c>
      <c r="E274" s="345">
        <v>490151.57</v>
      </c>
      <c r="F274" s="345">
        <v>478289.20000000024</v>
      </c>
      <c r="G274" s="345">
        <v>451949.65000000014</v>
      </c>
      <c r="H274" s="345">
        <v>430776.11000000004</v>
      </c>
      <c r="I274" s="345">
        <v>448104.98999999993</v>
      </c>
      <c r="J274" s="345">
        <v>514689.45000000007</v>
      </c>
      <c r="K274" s="345">
        <v>509879.20000000007</v>
      </c>
      <c r="L274" s="345">
        <v>482010.43999999994</v>
      </c>
      <c r="M274" s="345">
        <v>600069.91999999993</v>
      </c>
      <c r="N274" s="345">
        <v>444660.68</v>
      </c>
      <c r="O274" s="345">
        <v>440870.27999999991</v>
      </c>
      <c r="P274" s="345">
        <v>394168.70000000007</v>
      </c>
      <c r="Q274" s="392"/>
      <c r="R274" s="194">
        <f t="shared" si="31"/>
        <v>5685620.1900000013</v>
      </c>
      <c r="S274" s="434"/>
      <c r="T274" s="434"/>
      <c r="U274" s="443"/>
      <c r="V274" s="247"/>
    </row>
    <row r="275" spans="1:25" ht="50.1" customHeight="1">
      <c r="A275" s="435" t="s">
        <v>368</v>
      </c>
      <c r="B275" s="435"/>
      <c r="C275" s="436" t="s">
        <v>31</v>
      </c>
      <c r="D275" s="367" t="s">
        <v>88</v>
      </c>
      <c r="E275" s="264">
        <v>19014499</v>
      </c>
      <c r="F275" s="264">
        <v>16013029</v>
      </c>
      <c r="G275" s="264">
        <v>19014502</v>
      </c>
      <c r="H275" s="264">
        <v>17514059</v>
      </c>
      <c r="I275" s="264">
        <v>19014499</v>
      </c>
      <c r="J275" s="264">
        <v>18013133</v>
      </c>
      <c r="K275" s="264">
        <v>12013158</v>
      </c>
      <c r="L275" s="264">
        <v>13013154</v>
      </c>
      <c r="M275" s="264">
        <v>11013136</v>
      </c>
      <c r="N275" s="264">
        <v>12013131</v>
      </c>
      <c r="O275" s="264">
        <v>12013122</v>
      </c>
      <c r="P275" s="264">
        <v>12013131</v>
      </c>
      <c r="Q275" s="440"/>
      <c r="R275" s="264">
        <f>SUM(E277:P277)</f>
        <v>164592525.10799536</v>
      </c>
      <c r="S275" s="437" t="s">
        <v>89</v>
      </c>
      <c r="T275" s="437" t="s">
        <v>90</v>
      </c>
      <c r="U275" s="444" t="s">
        <v>90</v>
      </c>
      <c r="V275" s="227"/>
      <c r="Y275" s="244"/>
    </row>
    <row r="276" spans="1:25" ht="49.9" customHeight="1">
      <c r="A276" s="435"/>
      <c r="B276" s="435"/>
      <c r="C276" s="436"/>
      <c r="D276" s="367" t="s">
        <v>79</v>
      </c>
      <c r="E276" s="270">
        <v>38825046.519999996</v>
      </c>
      <c r="F276" s="270">
        <v>39103176.279999994</v>
      </c>
      <c r="G276" s="270">
        <v>45901598.069999993</v>
      </c>
      <c r="H276" s="270">
        <v>36022685.799999997</v>
      </c>
      <c r="I276" s="270">
        <v>36433609.039999999</v>
      </c>
      <c r="J276" s="270">
        <v>40781296.309999995</v>
      </c>
      <c r="K276" s="270">
        <v>37233015.939999998</v>
      </c>
      <c r="L276" s="270">
        <v>36162075.619999982</v>
      </c>
      <c r="M276" s="270">
        <v>39396083.720000006</v>
      </c>
      <c r="N276" s="270">
        <v>35662988.480000004</v>
      </c>
      <c r="O276" s="270">
        <v>38290304.329999998</v>
      </c>
      <c r="P276" s="270">
        <v>73171616.400000021</v>
      </c>
      <c r="Q276" s="440"/>
      <c r="R276" s="115">
        <f>R272+R268+R264+R260+R256+R252+R248+R244+R240+R236+R232</f>
        <v>496983496.50999999</v>
      </c>
      <c r="S276" s="437"/>
      <c r="T276" s="437"/>
      <c r="U276" s="444"/>
      <c r="V276" s="227"/>
      <c r="Y276" s="244"/>
    </row>
    <row r="277" spans="1:25" ht="50.1" customHeight="1">
      <c r="A277" s="435"/>
      <c r="B277" s="435"/>
      <c r="C277" s="438" t="s">
        <v>45</v>
      </c>
      <c r="D277" s="368" t="s">
        <v>88</v>
      </c>
      <c r="E277" s="271">
        <v>15745549.587109976</v>
      </c>
      <c r="F277" s="271">
        <v>14294316.880158102</v>
      </c>
      <c r="G277" s="271">
        <v>15903924.25090909</v>
      </c>
      <c r="H277" s="271">
        <v>9680956.959999999</v>
      </c>
      <c r="I277" s="271">
        <v>13411643.119999999</v>
      </c>
      <c r="J277" s="271">
        <v>11651948.799999999</v>
      </c>
      <c r="K277" s="271">
        <v>13992193.800000001</v>
      </c>
      <c r="L277" s="271">
        <v>13705241.221818183</v>
      </c>
      <c r="M277" s="271">
        <v>13832956.120000001</v>
      </c>
      <c r="N277" s="271">
        <v>14287924.66</v>
      </c>
      <c r="O277" s="271">
        <v>13688602.24</v>
      </c>
      <c r="P277" s="271">
        <v>14397267.468</v>
      </c>
      <c r="Q277" s="440"/>
      <c r="R277" s="40">
        <f>SUM(E277:P277)</f>
        <v>164592525.10799536</v>
      </c>
      <c r="S277" s="439">
        <f>R277/R275</f>
        <v>1</v>
      </c>
      <c r="T277" s="439">
        <f>R278/R276</f>
        <v>0.94149828649407674</v>
      </c>
      <c r="U277" s="441" t="e">
        <f>S278/S276</f>
        <v>#DIV/0!</v>
      </c>
      <c r="V277" s="227"/>
      <c r="Y277" s="244"/>
    </row>
    <row r="278" spans="1:25" ht="49.9" customHeight="1">
      <c r="A278" s="435"/>
      <c r="B278" s="435"/>
      <c r="C278" s="438"/>
      <c r="D278" s="368" t="s">
        <v>79</v>
      </c>
      <c r="E278" s="272">
        <v>38825046.519999996</v>
      </c>
      <c r="F278" s="272">
        <v>39103176.279999994</v>
      </c>
      <c r="G278" s="272">
        <v>45901598.069999993</v>
      </c>
      <c r="H278" s="272">
        <v>36022685.799999997</v>
      </c>
      <c r="I278" s="272">
        <v>36433609.039999999</v>
      </c>
      <c r="J278" s="272">
        <v>40781296.309999995</v>
      </c>
      <c r="K278" s="272">
        <v>37233015.939999998</v>
      </c>
      <c r="L278" s="272">
        <v>36162075.619999982</v>
      </c>
      <c r="M278" s="272">
        <v>39396083.720000006</v>
      </c>
      <c r="N278" s="272">
        <v>35662988.480000004</v>
      </c>
      <c r="O278" s="272">
        <v>38290304.329999998</v>
      </c>
      <c r="P278" s="272">
        <v>44097230.269999996</v>
      </c>
      <c r="Q278" s="440"/>
      <c r="R278" s="40">
        <f>SUM(E278:P278)</f>
        <v>467909110.37999994</v>
      </c>
      <c r="S278" s="439"/>
      <c r="T278" s="439"/>
      <c r="U278" s="441"/>
      <c r="V278" s="227"/>
      <c r="Y278" s="244"/>
    </row>
    <row r="279" spans="1:25" s="13" customFormat="1" ht="40.9" customHeight="1">
      <c r="A279" s="401" t="s">
        <v>433</v>
      </c>
      <c r="B279" s="402"/>
      <c r="C279" s="402"/>
      <c r="D279" s="402"/>
      <c r="E279" s="402"/>
      <c r="F279" s="402"/>
      <c r="G279" s="402"/>
      <c r="H279" s="402"/>
      <c r="I279" s="402"/>
      <c r="J279" s="402"/>
      <c r="K279" s="402"/>
      <c r="L279" s="402"/>
      <c r="M279" s="402"/>
      <c r="N279" s="402"/>
      <c r="O279" s="402"/>
      <c r="P279" s="402"/>
      <c r="Q279" s="402"/>
      <c r="R279" s="402"/>
      <c r="S279" s="402"/>
      <c r="T279" s="403"/>
      <c r="U279" s="12"/>
      <c r="Y279" s="245"/>
    </row>
    <row r="280" spans="1:25" ht="18">
      <c r="A280" s="404" t="s">
        <v>66</v>
      </c>
      <c r="B280" s="404"/>
      <c r="C280" s="404"/>
      <c r="D280" s="404"/>
      <c r="E280" s="404"/>
      <c r="F280" s="404"/>
      <c r="G280" s="404"/>
      <c r="H280" s="404"/>
      <c r="I280" s="404"/>
      <c r="J280" s="404"/>
      <c r="K280" s="404" t="s">
        <v>67</v>
      </c>
      <c r="L280" s="404"/>
      <c r="M280" s="404"/>
      <c r="N280" s="404"/>
      <c r="O280" s="404"/>
      <c r="P280" s="404"/>
      <c r="Q280" s="404"/>
      <c r="R280" s="404"/>
      <c r="S280" s="404"/>
      <c r="T280" s="404"/>
      <c r="U280"/>
    </row>
    <row r="281" spans="1:25" ht="32.450000000000003" customHeight="1">
      <c r="A281" s="405" t="s">
        <v>388</v>
      </c>
      <c r="B281" s="405"/>
      <c r="C281" s="405"/>
      <c r="D281" s="405"/>
      <c r="E281" s="405"/>
      <c r="F281" s="405"/>
      <c r="G281" s="405"/>
      <c r="H281" s="405"/>
      <c r="I281" s="405"/>
      <c r="J281" s="405"/>
      <c r="K281" s="406" t="s">
        <v>436</v>
      </c>
      <c r="L281" s="406"/>
      <c r="M281" s="406"/>
      <c r="N281" s="406"/>
      <c r="O281" s="406"/>
      <c r="P281" s="406"/>
      <c r="Q281" s="406"/>
      <c r="R281" s="406"/>
      <c r="S281" s="406"/>
      <c r="T281" s="406"/>
      <c r="U281"/>
    </row>
    <row r="282" spans="1:25" ht="18">
      <c r="A282" s="404" t="s">
        <v>69</v>
      </c>
      <c r="B282" s="404"/>
      <c r="C282" s="404"/>
      <c r="D282" s="404"/>
      <c r="E282" s="404"/>
      <c r="F282" s="404"/>
      <c r="G282" s="404"/>
      <c r="H282" s="404"/>
      <c r="I282" s="404"/>
      <c r="J282" s="404"/>
      <c r="K282" s="404" t="s">
        <v>313</v>
      </c>
      <c r="L282" s="404"/>
      <c r="M282" s="404"/>
      <c r="N282" s="404"/>
      <c r="O282" s="404"/>
      <c r="P282" s="404"/>
      <c r="Q282" s="404"/>
      <c r="R282" s="404"/>
      <c r="S282" s="404"/>
      <c r="T282" s="404"/>
      <c r="U282"/>
    </row>
    <row r="283" spans="1:25" ht="165" customHeight="1">
      <c r="A283" s="430" t="s">
        <v>445</v>
      </c>
      <c r="B283" s="431"/>
      <c r="C283" s="431"/>
      <c r="D283" s="431"/>
      <c r="E283" s="431"/>
      <c r="F283" s="431"/>
      <c r="G283" s="431"/>
      <c r="H283" s="431"/>
      <c r="I283" s="431"/>
      <c r="J283" s="432"/>
      <c r="K283" s="427" t="s">
        <v>389</v>
      </c>
      <c r="L283" s="428"/>
      <c r="M283" s="428"/>
      <c r="N283" s="428"/>
      <c r="O283" s="428"/>
      <c r="P283" s="428"/>
      <c r="Q283" s="428"/>
      <c r="R283" s="428"/>
      <c r="S283" s="428"/>
      <c r="T283" s="429"/>
      <c r="U283"/>
    </row>
    <row r="284" spans="1:25" ht="6" customHeight="1">
      <c r="A284" s="425"/>
      <c r="B284" s="425"/>
      <c r="C284" s="425"/>
      <c r="D284" s="425"/>
      <c r="E284" s="425"/>
      <c r="F284" s="425"/>
      <c r="G284" s="425"/>
      <c r="H284" s="425"/>
      <c r="I284" s="425"/>
      <c r="J284" s="425"/>
      <c r="K284" s="425"/>
      <c r="L284" s="425"/>
      <c r="M284" s="425"/>
      <c r="N284" s="425"/>
      <c r="O284" s="425"/>
      <c r="P284" s="425"/>
      <c r="Q284" s="248"/>
      <c r="R284" s="237"/>
      <c r="S284" s="237"/>
      <c r="T284" s="237"/>
      <c r="U284"/>
    </row>
    <row r="285" spans="1:25">
      <c r="A285" s="399" t="s">
        <v>17</v>
      </c>
      <c r="B285" s="399"/>
      <c r="C285" s="399"/>
      <c r="D285" s="399"/>
      <c r="E285" s="399"/>
      <c r="F285" s="399"/>
      <c r="G285" s="399"/>
      <c r="H285" s="399"/>
      <c r="I285" s="399"/>
      <c r="J285" s="399"/>
      <c r="K285" s="399"/>
      <c r="L285" s="399"/>
      <c r="M285" s="399"/>
      <c r="N285" s="399"/>
      <c r="O285" s="399"/>
      <c r="P285" s="399"/>
      <c r="Q285" s="399"/>
      <c r="R285" s="399"/>
      <c r="S285" s="399"/>
      <c r="T285" s="399"/>
      <c r="U285"/>
    </row>
    <row r="286" spans="1:25" ht="18">
      <c r="A286" s="426" t="s">
        <v>18</v>
      </c>
      <c r="B286" s="426"/>
      <c r="C286" s="426"/>
      <c r="D286" s="426"/>
      <c r="E286" s="426" t="s">
        <v>20</v>
      </c>
      <c r="F286" s="426"/>
      <c r="G286" s="426"/>
      <c r="H286" s="426"/>
      <c r="I286" s="426" t="s">
        <v>22</v>
      </c>
      <c r="J286" s="426"/>
      <c r="K286" s="426"/>
      <c r="L286" s="426"/>
      <c r="M286" s="426"/>
      <c r="N286" s="426"/>
      <c r="O286" s="426"/>
      <c r="P286" s="426"/>
      <c r="Q286" s="426" t="s">
        <v>24</v>
      </c>
      <c r="R286" s="426"/>
      <c r="S286" s="426"/>
      <c r="T286" s="426"/>
      <c r="U286"/>
    </row>
    <row r="287" spans="1:25" ht="14.45" customHeight="1">
      <c r="A287" s="421" t="s">
        <v>19</v>
      </c>
      <c r="B287" s="421"/>
      <c r="C287" s="421"/>
      <c r="D287" s="421"/>
      <c r="E287" s="422" t="s">
        <v>21</v>
      </c>
      <c r="F287" s="422"/>
      <c r="G287" s="422"/>
      <c r="H287" s="422"/>
      <c r="I287" s="421" t="s">
        <v>23</v>
      </c>
      <c r="J287" s="421"/>
      <c r="K287" s="421"/>
      <c r="L287" s="421"/>
      <c r="M287" s="421"/>
      <c r="N287" s="421"/>
      <c r="O287" s="421"/>
      <c r="P287" s="421"/>
      <c r="Q287" s="421" t="s">
        <v>25</v>
      </c>
      <c r="R287" s="421"/>
      <c r="S287" s="421"/>
      <c r="T287" s="421"/>
      <c r="U287"/>
    </row>
    <row r="288" spans="1:25">
      <c r="A288" s="238"/>
      <c r="B288" s="238"/>
      <c r="C288" s="238"/>
      <c r="D288" s="238"/>
      <c r="E288" s="239"/>
      <c r="F288" s="239"/>
      <c r="G288" s="239"/>
      <c r="H288" s="239"/>
      <c r="I288" s="240"/>
      <c r="J288" s="240"/>
      <c r="K288" s="240"/>
      <c r="L288" s="240"/>
      <c r="M288" s="240"/>
      <c r="N288" s="240"/>
      <c r="O288" s="240"/>
      <c r="P288" s="240"/>
      <c r="Q288" s="240"/>
      <c r="R288" s="240"/>
      <c r="S288" s="240"/>
      <c r="T288" s="237"/>
      <c r="U288"/>
    </row>
    <row r="289" spans="1:22" s="3" customFormat="1">
      <c r="A289" s="423" t="s">
        <v>72</v>
      </c>
      <c r="B289" s="423" t="s">
        <v>73</v>
      </c>
      <c r="C289" s="423" t="s">
        <v>46</v>
      </c>
      <c r="D289" s="423" t="s">
        <v>28</v>
      </c>
      <c r="E289" s="424" t="s">
        <v>33</v>
      </c>
      <c r="F289" s="424" t="s">
        <v>34</v>
      </c>
      <c r="G289" s="424" t="s">
        <v>35</v>
      </c>
      <c r="H289" s="424" t="s">
        <v>36</v>
      </c>
      <c r="I289" s="424" t="s">
        <v>37</v>
      </c>
      <c r="J289" s="424" t="s">
        <v>38</v>
      </c>
      <c r="K289" s="424" t="s">
        <v>39</v>
      </c>
      <c r="L289" s="424" t="s">
        <v>40</v>
      </c>
      <c r="M289" s="424" t="s">
        <v>41</v>
      </c>
      <c r="N289" s="424" t="s">
        <v>47</v>
      </c>
      <c r="O289" s="424" t="s">
        <v>42</v>
      </c>
      <c r="P289" s="424" t="s">
        <v>43</v>
      </c>
      <c r="Q289" s="423" t="s">
        <v>74</v>
      </c>
      <c r="R289" s="423" t="s">
        <v>75</v>
      </c>
      <c r="S289" s="423" t="s">
        <v>76</v>
      </c>
      <c r="T289" s="423"/>
    </row>
    <row r="290" spans="1:22" s="3" customFormat="1" ht="11.25" customHeight="1">
      <c r="A290" s="423"/>
      <c r="B290" s="423"/>
      <c r="C290" s="423"/>
      <c r="D290" s="423"/>
      <c r="E290" s="424"/>
      <c r="F290" s="424"/>
      <c r="G290" s="424"/>
      <c r="H290" s="424"/>
      <c r="I290" s="424"/>
      <c r="J290" s="424"/>
      <c r="K290" s="424"/>
      <c r="L290" s="424"/>
      <c r="M290" s="424"/>
      <c r="N290" s="424"/>
      <c r="O290" s="424"/>
      <c r="P290" s="424"/>
      <c r="Q290" s="423"/>
      <c r="R290" s="423"/>
      <c r="S290" s="281" t="s">
        <v>30</v>
      </c>
      <c r="T290" s="281" t="s">
        <v>390</v>
      </c>
    </row>
    <row r="291" spans="1:22" ht="38.25" customHeight="1">
      <c r="A291" s="388">
        <v>1</v>
      </c>
      <c r="B291" s="416" t="s">
        <v>391</v>
      </c>
      <c r="C291" s="378" t="s">
        <v>31</v>
      </c>
      <c r="D291" s="355" t="s">
        <v>29</v>
      </c>
      <c r="E291" s="284">
        <v>20</v>
      </c>
      <c r="F291" s="284">
        <v>20</v>
      </c>
      <c r="G291" s="284">
        <v>20</v>
      </c>
      <c r="H291" s="284">
        <v>8</v>
      </c>
      <c r="I291" s="284">
        <v>8</v>
      </c>
      <c r="J291" s="284">
        <v>8</v>
      </c>
      <c r="K291" s="284">
        <v>10</v>
      </c>
      <c r="L291" s="284">
        <v>12</v>
      </c>
      <c r="M291" s="284">
        <v>15</v>
      </c>
      <c r="N291" s="284">
        <v>15</v>
      </c>
      <c r="O291" s="284">
        <v>17</v>
      </c>
      <c r="P291" s="284">
        <v>20</v>
      </c>
      <c r="Q291" s="417">
        <v>789704</v>
      </c>
      <c r="R291" s="284">
        <f>SUM(E291:P291)</f>
        <v>173</v>
      </c>
      <c r="S291" s="418" t="s">
        <v>392</v>
      </c>
      <c r="T291" s="418" t="s">
        <v>393</v>
      </c>
      <c r="U291"/>
      <c r="V291">
        <v>5001</v>
      </c>
    </row>
    <row r="292" spans="1:22" ht="38.25" customHeight="1">
      <c r="A292" s="388"/>
      <c r="B292" s="416"/>
      <c r="C292" s="378"/>
      <c r="D292" s="355" t="s">
        <v>394</v>
      </c>
      <c r="E292" s="285">
        <v>3547227.62</v>
      </c>
      <c r="F292" s="285">
        <v>265899.68</v>
      </c>
      <c r="G292" s="285">
        <v>266514.26999999996</v>
      </c>
      <c r="H292" s="285">
        <v>295879.39</v>
      </c>
      <c r="I292" s="285">
        <v>267244.98</v>
      </c>
      <c r="J292" s="285">
        <v>263541.21999999997</v>
      </c>
      <c r="K292" s="285">
        <v>260291.97000000003</v>
      </c>
      <c r="L292" s="285">
        <v>217235.65</v>
      </c>
      <c r="M292" s="285">
        <v>198847.41000000003</v>
      </c>
      <c r="N292" s="285">
        <v>182973.34</v>
      </c>
      <c r="O292" s="285">
        <v>317614.23000000004</v>
      </c>
      <c r="P292" s="285">
        <v>1930739.6700000011</v>
      </c>
      <c r="Q292" s="417"/>
      <c r="R292" s="290">
        <f>SUM(E292:P292)</f>
        <v>8014009.4300000006</v>
      </c>
      <c r="S292" s="418"/>
      <c r="T292" s="418"/>
      <c r="U292"/>
    </row>
    <row r="293" spans="1:22" ht="15.75">
      <c r="A293" s="388"/>
      <c r="B293" s="416"/>
      <c r="C293" s="381" t="s">
        <v>395</v>
      </c>
      <c r="D293" s="356" t="s">
        <v>29</v>
      </c>
      <c r="E293" s="287">
        <v>20</v>
      </c>
      <c r="F293" s="287">
        <v>20</v>
      </c>
      <c r="G293" s="287">
        <v>13</v>
      </c>
      <c r="H293" s="287">
        <v>8</v>
      </c>
      <c r="I293" s="287">
        <v>8</v>
      </c>
      <c r="J293" s="287">
        <v>8</v>
      </c>
      <c r="K293" s="287">
        <v>8</v>
      </c>
      <c r="L293" s="331">
        <v>10</v>
      </c>
      <c r="M293" s="331">
        <v>12</v>
      </c>
      <c r="N293" s="287">
        <v>12</v>
      </c>
      <c r="O293" s="287">
        <v>13</v>
      </c>
      <c r="P293" s="287">
        <v>15</v>
      </c>
      <c r="Q293" s="419">
        <v>671248</v>
      </c>
      <c r="R293" s="287">
        <f>SUM(E293:P293)</f>
        <v>147</v>
      </c>
      <c r="S293" s="393">
        <f>R293/R291</f>
        <v>0.8497109826589595</v>
      </c>
      <c r="T293" s="393">
        <f>R294/R292</f>
        <v>0.78187608895788374</v>
      </c>
      <c r="U293"/>
    </row>
    <row r="294" spans="1:22" ht="15.75">
      <c r="A294" s="388"/>
      <c r="B294" s="416"/>
      <c r="C294" s="381"/>
      <c r="D294" s="356" t="s">
        <v>394</v>
      </c>
      <c r="E294" s="288">
        <v>3547227.62</v>
      </c>
      <c r="F294" s="288">
        <v>265899.68</v>
      </c>
      <c r="G294" s="288">
        <v>266514.26999999996</v>
      </c>
      <c r="H294" s="288">
        <v>295879.39</v>
      </c>
      <c r="I294" s="288">
        <v>267244.98</v>
      </c>
      <c r="J294" s="288">
        <v>263541.21999999997</v>
      </c>
      <c r="K294" s="288">
        <v>260291.97000000003</v>
      </c>
      <c r="L294" s="288">
        <v>217235.65</v>
      </c>
      <c r="M294" s="288">
        <v>198847.41000000003</v>
      </c>
      <c r="N294" s="288">
        <v>182973.34</v>
      </c>
      <c r="O294" s="288">
        <v>317614.23000000004</v>
      </c>
      <c r="P294" s="288">
        <v>182692.58999999997</v>
      </c>
      <c r="Q294" s="419"/>
      <c r="R294" s="294">
        <f>SUM(E294:P294)</f>
        <v>6265962.3499999996</v>
      </c>
      <c r="S294" s="393"/>
      <c r="T294" s="393"/>
      <c r="U294"/>
    </row>
    <row r="295" spans="1:22" ht="35.1" customHeight="1">
      <c r="A295" s="388">
        <v>2</v>
      </c>
      <c r="B295" s="416" t="s">
        <v>396</v>
      </c>
      <c r="C295" s="378" t="s">
        <v>31</v>
      </c>
      <c r="D295" s="355" t="s">
        <v>397</v>
      </c>
      <c r="E295" s="284">
        <v>10</v>
      </c>
      <c r="F295" s="284">
        <v>10</v>
      </c>
      <c r="G295" s="284">
        <v>10</v>
      </c>
      <c r="H295" s="284">
        <v>3</v>
      </c>
      <c r="I295" s="284">
        <v>3</v>
      </c>
      <c r="J295" s="284">
        <v>3</v>
      </c>
      <c r="K295" s="284">
        <v>5</v>
      </c>
      <c r="L295" s="284">
        <v>5</v>
      </c>
      <c r="M295" s="284">
        <v>7</v>
      </c>
      <c r="N295" s="284">
        <v>8</v>
      </c>
      <c r="O295" s="284">
        <v>9</v>
      </c>
      <c r="P295" s="284">
        <v>10</v>
      </c>
      <c r="Q295" s="417">
        <v>789704</v>
      </c>
      <c r="R295" s="284">
        <f t="shared" ref="R295:R305" si="32">SUM(E295:P295)</f>
        <v>83</v>
      </c>
      <c r="S295" s="418" t="s">
        <v>398</v>
      </c>
      <c r="T295" s="418" t="s">
        <v>393</v>
      </c>
      <c r="U295"/>
      <c r="V295">
        <v>5003</v>
      </c>
    </row>
    <row r="296" spans="1:22" ht="35.1" customHeight="1">
      <c r="A296" s="388"/>
      <c r="B296" s="416"/>
      <c r="C296" s="378"/>
      <c r="D296" s="355" t="s">
        <v>394</v>
      </c>
      <c r="E296" s="285">
        <v>355692.34000000014</v>
      </c>
      <c r="F296" s="285">
        <v>315979.81000000011</v>
      </c>
      <c r="G296" s="285">
        <v>316603.4200000001</v>
      </c>
      <c r="H296" s="285">
        <v>310892.63999999996</v>
      </c>
      <c r="I296" s="285">
        <v>331339.43000000011</v>
      </c>
      <c r="J296" s="285">
        <v>338245.89</v>
      </c>
      <c r="K296" s="348">
        <v>320413.61</v>
      </c>
      <c r="L296" s="348">
        <v>326311.1100000001</v>
      </c>
      <c r="M296" s="348">
        <v>325550.95000000007</v>
      </c>
      <c r="N296" s="285">
        <v>323851.00999999995</v>
      </c>
      <c r="O296" s="285">
        <v>348858.40999999992</v>
      </c>
      <c r="P296" s="285">
        <v>857533.45999999985</v>
      </c>
      <c r="Q296" s="417"/>
      <c r="R296" s="290">
        <f>SUM(E296:P296)</f>
        <v>4471272.08</v>
      </c>
      <c r="S296" s="418"/>
      <c r="T296" s="418"/>
      <c r="U296"/>
    </row>
    <row r="297" spans="1:22" ht="25.5">
      <c r="A297" s="388"/>
      <c r="B297" s="416"/>
      <c r="C297" s="381" t="s">
        <v>395</v>
      </c>
      <c r="D297" s="356" t="s">
        <v>397</v>
      </c>
      <c r="E297" s="287">
        <v>10</v>
      </c>
      <c r="F297" s="287">
        <v>10</v>
      </c>
      <c r="G297" s="287">
        <v>3</v>
      </c>
      <c r="H297" s="287">
        <v>2</v>
      </c>
      <c r="I297" s="287">
        <v>2</v>
      </c>
      <c r="J297" s="287">
        <v>2</v>
      </c>
      <c r="K297" s="287">
        <v>5</v>
      </c>
      <c r="L297" s="287">
        <v>3</v>
      </c>
      <c r="M297" s="287">
        <v>7</v>
      </c>
      <c r="N297" s="287">
        <v>3</v>
      </c>
      <c r="O297" s="287">
        <v>17</v>
      </c>
      <c r="P297" s="287">
        <v>5</v>
      </c>
      <c r="Q297" s="419">
        <v>655454</v>
      </c>
      <c r="R297" s="287">
        <f t="shared" si="32"/>
        <v>69</v>
      </c>
      <c r="S297" s="393">
        <f>R297/R295</f>
        <v>0.83132530120481929</v>
      </c>
      <c r="T297" s="393">
        <f>R298/R296</f>
        <v>0.88816759726238803</v>
      </c>
      <c r="U297"/>
    </row>
    <row r="298" spans="1:22" ht="15.75">
      <c r="A298" s="388"/>
      <c r="B298" s="416"/>
      <c r="C298" s="381"/>
      <c r="D298" s="356" t="s">
        <v>394</v>
      </c>
      <c r="E298" s="349">
        <v>355692.34000000014</v>
      </c>
      <c r="F298" s="349">
        <v>315979.81000000011</v>
      </c>
      <c r="G298" s="349">
        <v>316603.4200000001</v>
      </c>
      <c r="H298" s="349">
        <v>310892.63999999996</v>
      </c>
      <c r="I298" s="349">
        <v>331339.43000000011</v>
      </c>
      <c r="J298" s="349">
        <v>338245.89</v>
      </c>
      <c r="K298" s="349">
        <v>320413.61</v>
      </c>
      <c r="L298" s="349">
        <v>326311.1100000001</v>
      </c>
      <c r="M298" s="349">
        <v>325550.95000000007</v>
      </c>
      <c r="N298" s="349">
        <v>323851.00999999995</v>
      </c>
      <c r="O298" s="285">
        <v>348858.40999999992</v>
      </c>
      <c r="P298" s="285">
        <v>357500.35999999993</v>
      </c>
      <c r="Q298" s="419"/>
      <c r="R298" s="294">
        <f>SUM(E298:P298)</f>
        <v>3971238.98</v>
      </c>
      <c r="S298" s="393"/>
      <c r="T298" s="393"/>
      <c r="U298"/>
    </row>
    <row r="299" spans="1:22" ht="37.5" customHeight="1">
      <c r="A299" s="388">
        <v>3</v>
      </c>
      <c r="B299" s="416" t="s">
        <v>399</v>
      </c>
      <c r="C299" s="378" t="s">
        <v>31</v>
      </c>
      <c r="D299" s="355" t="s">
        <v>400</v>
      </c>
      <c r="E299" s="284">
        <v>10</v>
      </c>
      <c r="F299" s="284">
        <v>10</v>
      </c>
      <c r="G299" s="284">
        <v>10</v>
      </c>
      <c r="H299" s="284">
        <v>3</v>
      </c>
      <c r="I299" s="284">
        <v>3</v>
      </c>
      <c r="J299" s="284">
        <v>3</v>
      </c>
      <c r="K299" s="284">
        <v>5</v>
      </c>
      <c r="L299" s="284">
        <v>5</v>
      </c>
      <c r="M299" s="284">
        <v>7</v>
      </c>
      <c r="N299" s="284">
        <v>8</v>
      </c>
      <c r="O299" s="284">
        <v>9</v>
      </c>
      <c r="P299" s="284">
        <v>10</v>
      </c>
      <c r="Q299" s="417">
        <v>789704</v>
      </c>
      <c r="R299" s="284">
        <f t="shared" si="32"/>
        <v>83</v>
      </c>
      <c r="S299" s="418" t="s">
        <v>401</v>
      </c>
      <c r="T299" s="418" t="s">
        <v>393</v>
      </c>
      <c r="U299"/>
      <c r="V299">
        <v>5004</v>
      </c>
    </row>
    <row r="300" spans="1:22" ht="37.5" customHeight="1">
      <c r="A300" s="388"/>
      <c r="B300" s="416"/>
      <c r="C300" s="378"/>
      <c r="D300" s="355" t="s">
        <v>394</v>
      </c>
      <c r="E300" s="285">
        <v>64244.790000000015</v>
      </c>
      <c r="F300" s="285">
        <v>56264.200000000012</v>
      </c>
      <c r="G300" s="285">
        <v>56910.100000000013</v>
      </c>
      <c r="H300" s="285">
        <v>56264.200000000012</v>
      </c>
      <c r="I300" s="285">
        <v>56898.200000000012</v>
      </c>
      <c r="J300" s="285">
        <v>57499.000000000007</v>
      </c>
      <c r="K300" s="348">
        <v>57179.200000000012</v>
      </c>
      <c r="L300" s="348">
        <v>56264.200000000012</v>
      </c>
      <c r="M300" s="348">
        <v>58166.180000000015</v>
      </c>
      <c r="N300" s="285">
        <v>61061.94000000001</v>
      </c>
      <c r="O300" s="285">
        <v>59452.509999999987</v>
      </c>
      <c r="P300" s="285">
        <v>169054.13999999998</v>
      </c>
      <c r="Q300" s="417"/>
      <c r="R300" s="290">
        <f>SUM(E300:P300)</f>
        <v>809258.66000000015</v>
      </c>
      <c r="S300" s="418"/>
      <c r="T300" s="418"/>
      <c r="U300"/>
    </row>
    <row r="301" spans="1:22" ht="25.5">
      <c r="A301" s="388"/>
      <c r="B301" s="416"/>
      <c r="C301" s="381" t="s">
        <v>395</v>
      </c>
      <c r="D301" s="356" t="s">
        <v>400</v>
      </c>
      <c r="E301" s="287">
        <v>10</v>
      </c>
      <c r="F301" s="287">
        <v>10</v>
      </c>
      <c r="G301" s="287">
        <v>3</v>
      </c>
      <c r="H301" s="287">
        <v>2</v>
      </c>
      <c r="I301" s="287">
        <v>2</v>
      </c>
      <c r="J301" s="287">
        <v>2</v>
      </c>
      <c r="K301" s="287">
        <v>5</v>
      </c>
      <c r="L301" s="331">
        <v>7</v>
      </c>
      <c r="M301" s="331">
        <v>7</v>
      </c>
      <c r="N301" s="287">
        <v>8</v>
      </c>
      <c r="O301" s="287">
        <v>18</v>
      </c>
      <c r="P301" s="287">
        <v>6</v>
      </c>
      <c r="Q301" s="419">
        <v>758115</v>
      </c>
      <c r="R301" s="287">
        <f t="shared" si="32"/>
        <v>80</v>
      </c>
      <c r="S301" s="393">
        <f>R301/R299</f>
        <v>0.96385542168674698</v>
      </c>
      <c r="T301" s="393">
        <f>R302/R300</f>
        <v>0.89345886023635501</v>
      </c>
      <c r="U301"/>
    </row>
    <row r="302" spans="1:22" ht="15.75">
      <c r="A302" s="388"/>
      <c r="B302" s="416"/>
      <c r="C302" s="381"/>
      <c r="D302" s="356" t="s">
        <v>394</v>
      </c>
      <c r="E302" s="349">
        <v>64244.790000000015</v>
      </c>
      <c r="F302" s="349">
        <v>56264.200000000012</v>
      </c>
      <c r="G302" s="349">
        <v>56910.100000000013</v>
      </c>
      <c r="H302" s="349">
        <v>56264.200000000012</v>
      </c>
      <c r="I302" s="349">
        <v>56898.200000000012</v>
      </c>
      <c r="J302" s="349">
        <v>57499.000000000007</v>
      </c>
      <c r="K302" s="349">
        <v>57179.200000000012</v>
      </c>
      <c r="L302" s="349">
        <v>56264.200000000012</v>
      </c>
      <c r="M302" s="349">
        <v>58166.180000000015</v>
      </c>
      <c r="N302" s="349">
        <v>61061.94000000001</v>
      </c>
      <c r="O302" s="349">
        <v>59452.509999999987</v>
      </c>
      <c r="P302" s="285">
        <v>82834.799999999988</v>
      </c>
      <c r="Q302" s="419"/>
      <c r="R302" s="294">
        <f>SUM(E302:P302)</f>
        <v>723039.32000000007</v>
      </c>
      <c r="S302" s="393"/>
      <c r="T302" s="393"/>
      <c r="U302"/>
    </row>
    <row r="303" spans="1:22" ht="66" customHeight="1">
      <c r="A303" s="388">
        <v>4</v>
      </c>
      <c r="B303" s="416" t="s">
        <v>402</v>
      </c>
      <c r="C303" s="378" t="s">
        <v>31</v>
      </c>
      <c r="D303" s="355" t="s">
        <v>29</v>
      </c>
      <c r="E303" s="284">
        <v>10</v>
      </c>
      <c r="F303" s="284">
        <v>10</v>
      </c>
      <c r="G303" s="284">
        <v>10</v>
      </c>
      <c r="H303" s="284">
        <v>4</v>
      </c>
      <c r="I303" s="284">
        <v>4</v>
      </c>
      <c r="J303" s="284">
        <v>4</v>
      </c>
      <c r="K303" s="284">
        <v>5</v>
      </c>
      <c r="L303" s="284">
        <v>6</v>
      </c>
      <c r="M303" s="284">
        <v>6</v>
      </c>
      <c r="N303" s="284">
        <v>7</v>
      </c>
      <c r="O303" s="284">
        <v>8</v>
      </c>
      <c r="P303" s="284">
        <v>10</v>
      </c>
      <c r="Q303" s="417">
        <v>789704</v>
      </c>
      <c r="R303" s="284">
        <f t="shared" si="32"/>
        <v>84</v>
      </c>
      <c r="S303" s="418" t="s">
        <v>403</v>
      </c>
      <c r="T303" s="418" t="s">
        <v>393</v>
      </c>
      <c r="U303"/>
      <c r="V303">
        <v>5009</v>
      </c>
    </row>
    <row r="304" spans="1:22" ht="66" customHeight="1">
      <c r="A304" s="388"/>
      <c r="B304" s="416"/>
      <c r="C304" s="378"/>
      <c r="D304" s="355" t="s">
        <v>394</v>
      </c>
      <c r="E304" s="285">
        <v>104916.26999999999</v>
      </c>
      <c r="F304" s="285">
        <v>85557.6</v>
      </c>
      <c r="G304" s="285">
        <v>85814.520000000019</v>
      </c>
      <c r="H304" s="285">
        <v>87915.99</v>
      </c>
      <c r="I304" s="285">
        <v>85201.670000000027</v>
      </c>
      <c r="J304" s="285">
        <v>86070.19</v>
      </c>
      <c r="K304" s="348">
        <v>86206.900000000009</v>
      </c>
      <c r="L304" s="348">
        <v>82213.47</v>
      </c>
      <c r="M304" s="348">
        <v>83264.010000000024</v>
      </c>
      <c r="N304" s="285">
        <v>81854.23</v>
      </c>
      <c r="O304" s="285">
        <v>88301.820000000022</v>
      </c>
      <c r="P304" s="285">
        <v>361753.61</v>
      </c>
      <c r="Q304" s="417"/>
      <c r="R304" s="290">
        <f>SUM(E304:P304)</f>
        <v>1319070.28</v>
      </c>
      <c r="S304" s="418"/>
      <c r="T304" s="418"/>
      <c r="U304"/>
    </row>
    <row r="305" spans="1:22" ht="15.75">
      <c r="A305" s="388"/>
      <c r="B305" s="416"/>
      <c r="C305" s="381" t="s">
        <v>395</v>
      </c>
      <c r="D305" s="356" t="s">
        <v>29</v>
      </c>
      <c r="E305" s="287">
        <v>10</v>
      </c>
      <c r="F305" s="287">
        <v>10</v>
      </c>
      <c r="G305" s="287">
        <v>5</v>
      </c>
      <c r="H305" s="287">
        <v>4</v>
      </c>
      <c r="I305" s="287">
        <v>4</v>
      </c>
      <c r="J305" s="287">
        <v>4</v>
      </c>
      <c r="K305" s="287">
        <v>3</v>
      </c>
      <c r="L305" s="287">
        <v>13</v>
      </c>
      <c r="M305" s="287">
        <v>5</v>
      </c>
      <c r="N305" s="287">
        <v>7</v>
      </c>
      <c r="O305" s="287">
        <v>10</v>
      </c>
      <c r="P305" s="287">
        <v>17</v>
      </c>
      <c r="Q305" s="419">
        <v>86867</v>
      </c>
      <c r="R305" s="287">
        <f t="shared" si="32"/>
        <v>92</v>
      </c>
      <c r="S305" s="393">
        <f>R305/R303</f>
        <v>1.0952380952380953</v>
      </c>
      <c r="T305" s="393">
        <f>R306/R304</f>
        <v>0.80794792829385864</v>
      </c>
      <c r="U305"/>
    </row>
    <row r="306" spans="1:22" ht="15.75">
      <c r="A306" s="388"/>
      <c r="B306" s="416"/>
      <c r="C306" s="381"/>
      <c r="D306" s="356" t="s">
        <v>394</v>
      </c>
      <c r="E306" s="288">
        <v>104916.26999999999</v>
      </c>
      <c r="F306" s="288">
        <v>85557.6</v>
      </c>
      <c r="G306" s="288">
        <v>85814.520000000019</v>
      </c>
      <c r="H306" s="288">
        <v>87915.99</v>
      </c>
      <c r="I306" s="288">
        <v>85201.670000000027</v>
      </c>
      <c r="J306" s="288">
        <v>86070.19</v>
      </c>
      <c r="K306" s="288">
        <v>86206.900000000009</v>
      </c>
      <c r="L306" s="288">
        <v>82213.47</v>
      </c>
      <c r="M306" s="288">
        <v>83264.010000000024</v>
      </c>
      <c r="N306" s="288">
        <v>81854.23</v>
      </c>
      <c r="O306" s="288">
        <v>88301.820000000022</v>
      </c>
      <c r="P306" s="288">
        <v>108423.43000000002</v>
      </c>
      <c r="Q306" s="419"/>
      <c r="R306" s="294">
        <f>SUM(E306:P306)</f>
        <v>1065740.1000000001</v>
      </c>
      <c r="S306" s="393"/>
      <c r="T306" s="393"/>
      <c r="U306"/>
    </row>
    <row r="307" spans="1:22" ht="35.1" customHeight="1">
      <c r="A307" s="388">
        <v>5</v>
      </c>
      <c r="B307" s="420" t="s">
        <v>404</v>
      </c>
      <c r="C307" s="378" t="s">
        <v>31</v>
      </c>
      <c r="D307" s="355" t="s">
        <v>29</v>
      </c>
      <c r="E307" s="284">
        <v>5</v>
      </c>
      <c r="F307" s="284">
        <v>5</v>
      </c>
      <c r="G307" s="284">
        <v>5</v>
      </c>
      <c r="H307" s="284">
        <v>2</v>
      </c>
      <c r="I307" s="284">
        <v>2</v>
      </c>
      <c r="J307" s="284">
        <v>2</v>
      </c>
      <c r="K307" s="284">
        <v>2</v>
      </c>
      <c r="L307" s="284">
        <v>3</v>
      </c>
      <c r="M307" s="284">
        <v>3</v>
      </c>
      <c r="N307" s="284">
        <v>4</v>
      </c>
      <c r="O307" s="284">
        <v>4</v>
      </c>
      <c r="P307" s="284">
        <v>4</v>
      </c>
      <c r="Q307" s="417">
        <v>789704</v>
      </c>
      <c r="R307" s="284">
        <f t="shared" ref="R307:R338" si="33">SUM(E307:P307)</f>
        <v>41</v>
      </c>
      <c r="S307" s="418" t="s">
        <v>405</v>
      </c>
      <c r="T307" s="418" t="s">
        <v>393</v>
      </c>
      <c r="U307"/>
      <c r="V307">
        <v>5010</v>
      </c>
    </row>
    <row r="308" spans="1:22" ht="35.1" customHeight="1">
      <c r="A308" s="388"/>
      <c r="B308" s="420"/>
      <c r="C308" s="378"/>
      <c r="D308" s="355" t="s">
        <v>394</v>
      </c>
      <c r="E308" s="285">
        <v>138450.73000000001</v>
      </c>
      <c r="F308" s="285">
        <v>124963.04000000001</v>
      </c>
      <c r="G308" s="285">
        <v>125302.9</v>
      </c>
      <c r="H308" s="285">
        <v>122148.19</v>
      </c>
      <c r="I308" s="285">
        <v>127103.99000000002</v>
      </c>
      <c r="J308" s="285">
        <v>124617.79</v>
      </c>
      <c r="K308" s="348">
        <v>123063.19</v>
      </c>
      <c r="L308" s="348">
        <v>122148.19</v>
      </c>
      <c r="M308" s="348">
        <v>125292.85999999997</v>
      </c>
      <c r="N308" s="285">
        <v>135285.00000000003</v>
      </c>
      <c r="O308" s="285">
        <v>127379.28</v>
      </c>
      <c r="P308" s="285">
        <v>295629.87999999995</v>
      </c>
      <c r="Q308" s="417"/>
      <c r="R308" s="290">
        <f>SUM(E308:P308)</f>
        <v>1691385.0399999998</v>
      </c>
      <c r="S308" s="418"/>
      <c r="T308" s="418"/>
      <c r="U308"/>
    </row>
    <row r="309" spans="1:22" ht="15.75">
      <c r="A309" s="388"/>
      <c r="B309" s="420"/>
      <c r="C309" s="381" t="s">
        <v>395</v>
      </c>
      <c r="D309" s="356" t="s">
        <v>29</v>
      </c>
      <c r="E309" s="287">
        <v>4</v>
      </c>
      <c r="F309" s="287">
        <v>1</v>
      </c>
      <c r="G309" s="287">
        <v>1</v>
      </c>
      <c r="H309" s="287">
        <v>0</v>
      </c>
      <c r="I309" s="287">
        <v>0</v>
      </c>
      <c r="J309" s="287">
        <v>0</v>
      </c>
      <c r="K309" s="287">
        <v>6</v>
      </c>
      <c r="L309" s="287">
        <v>8</v>
      </c>
      <c r="M309" s="287">
        <v>15</v>
      </c>
      <c r="N309" s="287">
        <v>6</v>
      </c>
      <c r="O309" s="287">
        <v>8</v>
      </c>
      <c r="P309" s="287">
        <v>4</v>
      </c>
      <c r="Q309" s="419">
        <v>101871</v>
      </c>
      <c r="R309" s="287">
        <f t="shared" si="33"/>
        <v>53</v>
      </c>
      <c r="S309" s="393">
        <f>R309/R307</f>
        <v>1.2926829268292683</v>
      </c>
      <c r="T309" s="393">
        <f>R310/R308</f>
        <v>0.92943522782961352</v>
      </c>
      <c r="U309"/>
    </row>
    <row r="310" spans="1:22" ht="15.75">
      <c r="A310" s="388"/>
      <c r="B310" s="420"/>
      <c r="C310" s="381"/>
      <c r="D310" s="356" t="s">
        <v>394</v>
      </c>
      <c r="E310" s="288">
        <v>138450.73000000001</v>
      </c>
      <c r="F310" s="288">
        <v>124963.04000000001</v>
      </c>
      <c r="G310" s="288">
        <v>125302.9</v>
      </c>
      <c r="H310" s="288">
        <v>122148.19</v>
      </c>
      <c r="I310" s="288">
        <v>127103.99000000002</v>
      </c>
      <c r="J310" s="288">
        <v>124617.79</v>
      </c>
      <c r="K310" s="288">
        <v>123063.19</v>
      </c>
      <c r="L310" s="288">
        <v>122148.19</v>
      </c>
      <c r="M310" s="288">
        <v>125292.85999999997</v>
      </c>
      <c r="N310" s="288">
        <v>135285.00000000003</v>
      </c>
      <c r="O310" s="288">
        <v>127379.28</v>
      </c>
      <c r="P310" s="288">
        <v>176277.67999999996</v>
      </c>
      <c r="Q310" s="419"/>
      <c r="R310" s="294">
        <f>SUM(E310:P310)</f>
        <v>1572032.8399999999</v>
      </c>
      <c r="S310" s="393"/>
      <c r="T310" s="393"/>
      <c r="U310"/>
    </row>
    <row r="311" spans="1:22" ht="54.75" customHeight="1">
      <c r="A311" s="388">
        <v>6</v>
      </c>
      <c r="B311" s="416" t="s">
        <v>406</v>
      </c>
      <c r="C311" s="378" t="s">
        <v>31</v>
      </c>
      <c r="D311" s="355" t="s">
        <v>29</v>
      </c>
      <c r="E311" s="284">
        <v>20</v>
      </c>
      <c r="F311" s="284">
        <v>20</v>
      </c>
      <c r="G311" s="284">
        <v>20</v>
      </c>
      <c r="H311" s="284">
        <v>8</v>
      </c>
      <c r="I311" s="284">
        <v>8</v>
      </c>
      <c r="J311" s="284">
        <v>8</v>
      </c>
      <c r="K311" s="284">
        <v>10</v>
      </c>
      <c r="L311" s="284">
        <v>12</v>
      </c>
      <c r="M311" s="284">
        <v>15</v>
      </c>
      <c r="N311" s="284">
        <v>15</v>
      </c>
      <c r="O311" s="284">
        <v>17</v>
      </c>
      <c r="P311" s="284">
        <v>20</v>
      </c>
      <c r="Q311" s="417">
        <v>789704</v>
      </c>
      <c r="R311" s="284">
        <f t="shared" si="33"/>
        <v>173</v>
      </c>
      <c r="S311" s="418" t="s">
        <v>407</v>
      </c>
      <c r="T311" s="418" t="s">
        <v>393</v>
      </c>
      <c r="U311"/>
      <c r="V311">
        <v>5008</v>
      </c>
    </row>
    <row r="312" spans="1:22" ht="54.75" customHeight="1">
      <c r="A312" s="388"/>
      <c r="B312" s="416"/>
      <c r="C312" s="378"/>
      <c r="D312" s="355" t="s">
        <v>394</v>
      </c>
      <c r="E312" s="285">
        <v>67921.58</v>
      </c>
      <c r="F312" s="285">
        <v>62916.130000000019</v>
      </c>
      <c r="G312" s="285">
        <v>63754.689999999995</v>
      </c>
      <c r="H312" s="285">
        <v>62213.530000000021</v>
      </c>
      <c r="I312" s="285">
        <v>67169.329999999987</v>
      </c>
      <c r="J312" s="285">
        <v>64198.330000000016</v>
      </c>
      <c r="K312" s="348">
        <v>63128.530000000021</v>
      </c>
      <c r="L312" s="348">
        <v>62213.530000000021</v>
      </c>
      <c r="M312" s="348">
        <v>63796.72</v>
      </c>
      <c r="N312" s="285">
        <v>44648.530000000013</v>
      </c>
      <c r="O312" s="285">
        <v>70787.689999999973</v>
      </c>
      <c r="P312" s="285">
        <v>520919.25</v>
      </c>
      <c r="Q312" s="417"/>
      <c r="R312" s="290">
        <f>SUM(E312:P312)</f>
        <v>1213667.8400000001</v>
      </c>
      <c r="S312" s="418"/>
      <c r="T312" s="418"/>
      <c r="U312"/>
    </row>
    <row r="313" spans="1:22" ht="25.5" customHeight="1">
      <c r="A313" s="388"/>
      <c r="B313" s="416"/>
      <c r="C313" s="381" t="s">
        <v>395</v>
      </c>
      <c r="D313" s="356" t="s">
        <v>29</v>
      </c>
      <c r="E313" s="287">
        <v>20</v>
      </c>
      <c r="F313" s="287">
        <v>20</v>
      </c>
      <c r="G313" s="287">
        <v>10</v>
      </c>
      <c r="H313" s="287">
        <v>8</v>
      </c>
      <c r="I313" s="287">
        <v>8</v>
      </c>
      <c r="J313" s="287">
        <v>8</v>
      </c>
      <c r="K313" s="287">
        <v>7</v>
      </c>
      <c r="L313" s="287">
        <v>8</v>
      </c>
      <c r="M313" s="287">
        <v>8</v>
      </c>
      <c r="N313" s="287">
        <v>10</v>
      </c>
      <c r="O313" s="287">
        <v>10</v>
      </c>
      <c r="P313" s="287">
        <v>12</v>
      </c>
      <c r="Q313" s="419">
        <v>592278</v>
      </c>
      <c r="R313" s="287">
        <f t="shared" si="33"/>
        <v>129</v>
      </c>
      <c r="S313" s="393">
        <f>R313/R311</f>
        <v>0.74566473988439308</v>
      </c>
      <c r="T313" s="393">
        <f>R314/R312</f>
        <v>0.79943621147611521</v>
      </c>
      <c r="U313"/>
    </row>
    <row r="314" spans="1:22" ht="25.5" customHeight="1">
      <c r="A314" s="388"/>
      <c r="B314" s="416"/>
      <c r="C314" s="381"/>
      <c r="D314" s="356" t="s">
        <v>394</v>
      </c>
      <c r="E314" s="288">
        <v>67921.58</v>
      </c>
      <c r="F314" s="288">
        <v>62916.130000000019</v>
      </c>
      <c r="G314" s="288">
        <v>63754.689999999995</v>
      </c>
      <c r="H314" s="288">
        <v>62213.530000000021</v>
      </c>
      <c r="I314" s="288">
        <v>67169.329999999987</v>
      </c>
      <c r="J314" s="288">
        <v>64198.330000000016</v>
      </c>
      <c r="K314" s="288">
        <v>63128.530000000021</v>
      </c>
      <c r="L314" s="288">
        <v>62213.530000000021</v>
      </c>
      <c r="M314" s="288">
        <v>63796.72</v>
      </c>
      <c r="N314" s="288">
        <v>44648.530000000013</v>
      </c>
      <c r="O314" s="288">
        <v>70787.689999999973</v>
      </c>
      <c r="P314" s="288">
        <v>277501.42999999993</v>
      </c>
      <c r="Q314" s="419"/>
      <c r="R314" s="294">
        <f>SUM(E314:P314)</f>
        <v>970250.02</v>
      </c>
      <c r="S314" s="393"/>
      <c r="T314" s="393"/>
      <c r="U314"/>
    </row>
    <row r="315" spans="1:22" ht="35.1" customHeight="1">
      <c r="A315" s="388">
        <v>7</v>
      </c>
      <c r="B315" s="416" t="s">
        <v>408</v>
      </c>
      <c r="C315" s="378" t="s">
        <v>31</v>
      </c>
      <c r="D315" s="355" t="s">
        <v>29</v>
      </c>
      <c r="E315" s="284">
        <v>20</v>
      </c>
      <c r="F315" s="284">
        <v>20</v>
      </c>
      <c r="G315" s="284">
        <v>20</v>
      </c>
      <c r="H315" s="284">
        <v>8</v>
      </c>
      <c r="I315" s="284">
        <v>8</v>
      </c>
      <c r="J315" s="284">
        <v>8</v>
      </c>
      <c r="K315" s="284">
        <v>10</v>
      </c>
      <c r="L315" s="284">
        <v>12</v>
      </c>
      <c r="M315" s="284">
        <v>15</v>
      </c>
      <c r="N315" s="284">
        <v>15</v>
      </c>
      <c r="O315" s="284">
        <v>17</v>
      </c>
      <c r="P315" s="284">
        <v>20</v>
      </c>
      <c r="Q315" s="417">
        <v>789704</v>
      </c>
      <c r="R315" s="284">
        <f t="shared" si="33"/>
        <v>173</v>
      </c>
      <c r="S315" s="418" t="s">
        <v>409</v>
      </c>
      <c r="T315" s="418" t="s">
        <v>393</v>
      </c>
      <c r="U315"/>
      <c r="V315">
        <v>5002</v>
      </c>
    </row>
    <row r="316" spans="1:22" ht="35.1" customHeight="1">
      <c r="A316" s="388"/>
      <c r="B316" s="416"/>
      <c r="C316" s="378"/>
      <c r="D316" s="355" t="s">
        <v>394</v>
      </c>
      <c r="E316" s="285">
        <v>177848.38999999996</v>
      </c>
      <c r="F316" s="285">
        <v>152577.35999999999</v>
      </c>
      <c r="G316" s="285">
        <v>156765.68</v>
      </c>
      <c r="H316" s="285">
        <v>155306.31</v>
      </c>
      <c r="I316" s="285">
        <v>177781.77000000005</v>
      </c>
      <c r="J316" s="350">
        <v>197845.41</v>
      </c>
      <c r="K316" s="348">
        <v>190357.91999999998</v>
      </c>
      <c r="L316" s="348">
        <v>188731.9</v>
      </c>
      <c r="M316" s="348">
        <v>179313.71999999997</v>
      </c>
      <c r="N316" s="285">
        <v>208005.63999999998</v>
      </c>
      <c r="O316" s="285">
        <v>263941.08</v>
      </c>
      <c r="P316" s="285">
        <v>399153.84</v>
      </c>
      <c r="Q316" s="417"/>
      <c r="R316" s="290">
        <f>SUM(E316:P316)</f>
        <v>2447629.02</v>
      </c>
      <c r="S316" s="418"/>
      <c r="T316" s="418"/>
      <c r="U316"/>
    </row>
    <row r="317" spans="1:22" ht="25.5" customHeight="1">
      <c r="A317" s="388"/>
      <c r="B317" s="416"/>
      <c r="C317" s="381" t="s">
        <v>395</v>
      </c>
      <c r="D317" s="356" t="s">
        <v>29</v>
      </c>
      <c r="E317" s="287">
        <v>17</v>
      </c>
      <c r="F317" s="287">
        <v>18</v>
      </c>
      <c r="G317" s="287">
        <v>9</v>
      </c>
      <c r="H317" s="287">
        <v>6</v>
      </c>
      <c r="I317" s="287">
        <v>6</v>
      </c>
      <c r="J317" s="287">
        <v>6</v>
      </c>
      <c r="K317" s="287">
        <v>7</v>
      </c>
      <c r="L317" s="287">
        <v>7</v>
      </c>
      <c r="M317" s="287">
        <v>5</v>
      </c>
      <c r="N317" s="287">
        <v>10</v>
      </c>
      <c r="O317" s="287">
        <v>10</v>
      </c>
      <c r="P317" s="287">
        <v>12</v>
      </c>
      <c r="Q317" s="419">
        <v>513307</v>
      </c>
      <c r="R317" s="287">
        <f t="shared" si="33"/>
        <v>113</v>
      </c>
      <c r="S317" s="393">
        <f>R317/R315</f>
        <v>0.65317919075144504</v>
      </c>
      <c r="T317" s="393">
        <f>R318/R316</f>
        <v>0.92275777968999551</v>
      </c>
      <c r="U317"/>
    </row>
    <row r="318" spans="1:22" ht="25.5" customHeight="1">
      <c r="A318" s="388"/>
      <c r="B318" s="416"/>
      <c r="C318" s="381"/>
      <c r="D318" s="356" t="s">
        <v>394</v>
      </c>
      <c r="E318" s="288">
        <v>177848.38999999996</v>
      </c>
      <c r="F318" s="288">
        <v>152577.35999999999</v>
      </c>
      <c r="G318" s="288">
        <v>156765.68</v>
      </c>
      <c r="H318" s="288">
        <v>155306.31</v>
      </c>
      <c r="I318" s="288">
        <v>177781.77000000005</v>
      </c>
      <c r="J318" s="351">
        <v>197845.41</v>
      </c>
      <c r="K318" s="351">
        <v>190357.91999999998</v>
      </c>
      <c r="L318" s="288">
        <v>188731.9</v>
      </c>
      <c r="M318" s="351">
        <v>179313.71999999997</v>
      </c>
      <c r="N318" s="351">
        <v>208005.63999999998</v>
      </c>
      <c r="O318" s="288">
        <v>263941.08</v>
      </c>
      <c r="P318" s="288">
        <v>210093.54000000004</v>
      </c>
      <c r="Q318" s="419"/>
      <c r="R318" s="294">
        <f t="shared" si="33"/>
        <v>2258568.7199999997</v>
      </c>
      <c r="S318" s="393"/>
      <c r="T318" s="393"/>
      <c r="U318"/>
    </row>
    <row r="319" spans="1:22" ht="35.1" customHeight="1">
      <c r="A319" s="388">
        <v>8</v>
      </c>
      <c r="B319" s="416" t="s">
        <v>410</v>
      </c>
      <c r="C319" s="378" t="s">
        <v>31</v>
      </c>
      <c r="D319" s="355" t="s">
        <v>29</v>
      </c>
      <c r="E319" s="284">
        <v>15</v>
      </c>
      <c r="F319" s="284">
        <v>15</v>
      </c>
      <c r="G319" s="284">
        <v>15</v>
      </c>
      <c r="H319" s="284">
        <v>5</v>
      </c>
      <c r="I319" s="284">
        <v>5</v>
      </c>
      <c r="J319" s="284">
        <v>5</v>
      </c>
      <c r="K319" s="284">
        <v>7</v>
      </c>
      <c r="L319" s="284">
        <v>7</v>
      </c>
      <c r="M319" s="284">
        <v>10</v>
      </c>
      <c r="N319" s="284">
        <v>10</v>
      </c>
      <c r="O319" s="284">
        <v>12</v>
      </c>
      <c r="P319" s="284">
        <v>15</v>
      </c>
      <c r="Q319" s="417">
        <v>789704</v>
      </c>
      <c r="R319" s="284">
        <f t="shared" si="33"/>
        <v>121</v>
      </c>
      <c r="S319" s="418" t="s">
        <v>411</v>
      </c>
      <c r="T319" s="418" t="s">
        <v>393</v>
      </c>
      <c r="U319"/>
      <c r="V319">
        <v>5011</v>
      </c>
    </row>
    <row r="320" spans="1:22" ht="35.1" customHeight="1">
      <c r="A320" s="388"/>
      <c r="B320" s="416"/>
      <c r="C320" s="378"/>
      <c r="D320" s="355" t="s">
        <v>394</v>
      </c>
      <c r="E320" s="285">
        <v>141025.55000000002</v>
      </c>
      <c r="F320" s="285">
        <v>121617.93000000002</v>
      </c>
      <c r="G320" s="285">
        <v>119670.75000000004</v>
      </c>
      <c r="H320" s="285">
        <v>124349.38000000002</v>
      </c>
      <c r="I320" s="285">
        <v>130227.82</v>
      </c>
      <c r="J320" s="285">
        <v>139962.43000000002</v>
      </c>
      <c r="K320" s="348">
        <v>133901.75000000003</v>
      </c>
      <c r="L320" s="348">
        <v>135064.64000000004</v>
      </c>
      <c r="M320" s="348">
        <v>134202.23000000001</v>
      </c>
      <c r="N320" s="285">
        <v>113320.48999999999</v>
      </c>
      <c r="O320" s="285">
        <v>103885.19999999998</v>
      </c>
      <c r="P320" s="285">
        <v>409806.55999999988</v>
      </c>
      <c r="Q320" s="417"/>
      <c r="R320" s="290">
        <f t="shared" si="33"/>
        <v>1807034.73</v>
      </c>
      <c r="S320" s="418"/>
      <c r="T320" s="418"/>
      <c r="U320"/>
    </row>
    <row r="321" spans="1:26" ht="25.5" customHeight="1">
      <c r="A321" s="388"/>
      <c r="B321" s="416"/>
      <c r="C321" s="381" t="s">
        <v>395</v>
      </c>
      <c r="D321" s="356" t="s">
        <v>29</v>
      </c>
      <c r="E321" s="287">
        <v>15</v>
      </c>
      <c r="F321" s="287">
        <v>15</v>
      </c>
      <c r="G321" s="287">
        <v>6</v>
      </c>
      <c r="H321" s="287">
        <v>3</v>
      </c>
      <c r="I321" s="287">
        <v>3</v>
      </c>
      <c r="J321" s="287">
        <v>3</v>
      </c>
      <c r="K321" s="287">
        <v>8</v>
      </c>
      <c r="L321" s="287">
        <v>3</v>
      </c>
      <c r="M321" s="287">
        <v>5</v>
      </c>
      <c r="N321" s="287">
        <v>10</v>
      </c>
      <c r="O321" s="287">
        <v>12</v>
      </c>
      <c r="P321" s="287">
        <v>15</v>
      </c>
      <c r="Q321" s="419">
        <v>639660</v>
      </c>
      <c r="R321" s="287">
        <f t="shared" si="33"/>
        <v>98</v>
      </c>
      <c r="S321" s="393">
        <f>R321/R319</f>
        <v>0.80991735537190079</v>
      </c>
      <c r="T321" s="393">
        <f>R322/R320</f>
        <v>0.81205194656109358</v>
      </c>
      <c r="U321"/>
    </row>
    <row r="322" spans="1:26" ht="25.5" customHeight="1">
      <c r="A322" s="388"/>
      <c r="B322" s="416"/>
      <c r="C322" s="381"/>
      <c r="D322" s="356" t="s">
        <v>394</v>
      </c>
      <c r="E322" s="288">
        <v>141025.55000000002</v>
      </c>
      <c r="F322" s="288">
        <v>121617.93000000002</v>
      </c>
      <c r="G322" s="288">
        <v>119670.75000000004</v>
      </c>
      <c r="H322" s="288">
        <v>124349.38000000002</v>
      </c>
      <c r="I322" s="288">
        <v>130227.82</v>
      </c>
      <c r="J322" s="288">
        <v>139962.43000000002</v>
      </c>
      <c r="K322" s="288">
        <v>133901.75000000003</v>
      </c>
      <c r="L322" s="288">
        <v>135064.64000000004</v>
      </c>
      <c r="M322" s="288">
        <v>134202.23000000001</v>
      </c>
      <c r="N322" s="288">
        <v>113320.48999999999</v>
      </c>
      <c r="O322" s="288">
        <v>103885.19999999998</v>
      </c>
      <c r="P322" s="288">
        <v>70177.899999999994</v>
      </c>
      <c r="Q322" s="419"/>
      <c r="R322" s="294">
        <f t="shared" si="33"/>
        <v>1467406.07</v>
      </c>
      <c r="S322" s="393"/>
      <c r="T322" s="393"/>
      <c r="U322"/>
    </row>
    <row r="323" spans="1:26" ht="35.1" customHeight="1">
      <c r="A323" s="388">
        <v>9</v>
      </c>
      <c r="B323" s="416" t="s">
        <v>412</v>
      </c>
      <c r="C323" s="378" t="s">
        <v>31</v>
      </c>
      <c r="D323" s="355" t="s">
        <v>29</v>
      </c>
      <c r="E323" s="284">
        <v>2</v>
      </c>
      <c r="F323" s="284">
        <v>2</v>
      </c>
      <c r="G323" s="284">
        <v>2</v>
      </c>
      <c r="H323" s="284">
        <v>1</v>
      </c>
      <c r="I323" s="284">
        <v>1</v>
      </c>
      <c r="J323" s="284">
        <v>1</v>
      </c>
      <c r="K323" s="284">
        <v>1</v>
      </c>
      <c r="L323" s="284">
        <v>2</v>
      </c>
      <c r="M323" s="284">
        <v>2</v>
      </c>
      <c r="N323" s="284">
        <v>2</v>
      </c>
      <c r="O323" s="284">
        <v>2</v>
      </c>
      <c r="P323" s="284">
        <v>2</v>
      </c>
      <c r="Q323" s="417">
        <v>789704</v>
      </c>
      <c r="R323" s="284">
        <f t="shared" si="33"/>
        <v>20</v>
      </c>
      <c r="S323" s="418" t="s">
        <v>413</v>
      </c>
      <c r="T323" s="418" t="s">
        <v>393</v>
      </c>
      <c r="U323"/>
      <c r="V323">
        <v>5007</v>
      </c>
    </row>
    <row r="324" spans="1:26" ht="35.1" customHeight="1">
      <c r="A324" s="388"/>
      <c r="B324" s="416"/>
      <c r="C324" s="378"/>
      <c r="D324" s="355" t="s">
        <v>394</v>
      </c>
      <c r="E324" s="285">
        <v>26262.27</v>
      </c>
      <c r="F324" s="285">
        <v>24086.27</v>
      </c>
      <c r="G324" s="285">
        <v>23442.79</v>
      </c>
      <c r="H324" s="285">
        <v>24684.190000000002</v>
      </c>
      <c r="I324" s="285">
        <v>24684.190000000002</v>
      </c>
      <c r="J324" s="285">
        <v>25918.989999999998</v>
      </c>
      <c r="K324" s="285">
        <v>24684.190000000002</v>
      </c>
      <c r="L324" s="285">
        <v>24684.190000000002</v>
      </c>
      <c r="M324" s="285">
        <v>24684.190000000002</v>
      </c>
      <c r="N324" s="285">
        <v>24684.190000000002</v>
      </c>
      <c r="O324" s="285">
        <v>24401.35</v>
      </c>
      <c r="P324" s="285">
        <v>81140.579999999987</v>
      </c>
      <c r="Q324" s="417"/>
      <c r="R324" s="290">
        <f t="shared" si="33"/>
        <v>353357.39</v>
      </c>
      <c r="S324" s="418"/>
      <c r="T324" s="418"/>
      <c r="U324"/>
    </row>
    <row r="325" spans="1:26" ht="25.5" customHeight="1">
      <c r="A325" s="388"/>
      <c r="B325" s="416"/>
      <c r="C325" s="381" t="s">
        <v>395</v>
      </c>
      <c r="D325" s="356" t="s">
        <v>29</v>
      </c>
      <c r="E325" s="287">
        <v>2</v>
      </c>
      <c r="F325" s="287">
        <v>2</v>
      </c>
      <c r="G325" s="287">
        <v>2</v>
      </c>
      <c r="H325" s="287">
        <v>1</v>
      </c>
      <c r="I325" s="287">
        <v>1</v>
      </c>
      <c r="J325" s="287">
        <v>1</v>
      </c>
      <c r="K325" s="287">
        <v>1</v>
      </c>
      <c r="L325" s="287">
        <v>2</v>
      </c>
      <c r="M325" s="287">
        <v>2</v>
      </c>
      <c r="N325" s="287">
        <v>2</v>
      </c>
      <c r="O325" s="287">
        <v>2</v>
      </c>
      <c r="P325" s="287">
        <v>2</v>
      </c>
      <c r="Q325" s="419">
        <v>78970</v>
      </c>
      <c r="R325" s="287">
        <f t="shared" si="33"/>
        <v>20</v>
      </c>
      <c r="S325" s="393">
        <f>R325/R323</f>
        <v>1</v>
      </c>
      <c r="T325" s="393">
        <f>R326/R324</f>
        <v>0.86360995591460532</v>
      </c>
      <c r="U325"/>
    </row>
    <row r="326" spans="1:26" ht="25.5" customHeight="1">
      <c r="A326" s="388"/>
      <c r="B326" s="416"/>
      <c r="C326" s="381"/>
      <c r="D326" s="356" t="s">
        <v>394</v>
      </c>
      <c r="E326" s="288">
        <v>26262.27</v>
      </c>
      <c r="F326" s="288">
        <v>24086.27</v>
      </c>
      <c r="G326" s="288">
        <v>23442.79</v>
      </c>
      <c r="H326" s="288">
        <v>24684.190000000002</v>
      </c>
      <c r="I326" s="288">
        <v>24684.190000000002</v>
      </c>
      <c r="J326" s="288">
        <v>25918.989999999998</v>
      </c>
      <c r="K326" s="288">
        <v>24684.190000000002</v>
      </c>
      <c r="L326" s="288">
        <v>24684.190000000002</v>
      </c>
      <c r="M326" s="288">
        <v>24684.190000000002</v>
      </c>
      <c r="N326" s="288">
        <v>24684.190000000002</v>
      </c>
      <c r="O326" s="288">
        <v>24401.35</v>
      </c>
      <c r="P326" s="288">
        <v>32946.15</v>
      </c>
      <c r="Q326" s="419"/>
      <c r="R326" s="294">
        <f t="shared" si="33"/>
        <v>305162.96000000002</v>
      </c>
      <c r="S326" s="393"/>
      <c r="T326" s="393"/>
      <c r="U326"/>
    </row>
    <row r="327" spans="1:26" ht="35.1" customHeight="1">
      <c r="A327" s="388">
        <v>10</v>
      </c>
      <c r="B327" s="416" t="s">
        <v>414</v>
      </c>
      <c r="C327" s="378" t="s">
        <v>31</v>
      </c>
      <c r="D327" s="355" t="s">
        <v>415</v>
      </c>
      <c r="E327" s="284">
        <v>31</v>
      </c>
      <c r="F327" s="284">
        <v>29</v>
      </c>
      <c r="G327" s="284">
        <v>31</v>
      </c>
      <c r="H327" s="284">
        <v>15</v>
      </c>
      <c r="I327" s="284">
        <v>15</v>
      </c>
      <c r="J327" s="284">
        <v>15</v>
      </c>
      <c r="K327" s="284">
        <v>31</v>
      </c>
      <c r="L327" s="284">
        <v>31</v>
      </c>
      <c r="M327" s="284">
        <v>30</v>
      </c>
      <c r="N327" s="284">
        <v>31</v>
      </c>
      <c r="O327" s="284">
        <v>30</v>
      </c>
      <c r="P327" s="284">
        <v>31</v>
      </c>
      <c r="Q327" s="417">
        <v>789704</v>
      </c>
      <c r="R327" s="284">
        <f t="shared" si="33"/>
        <v>320</v>
      </c>
      <c r="S327" s="418" t="s">
        <v>416</v>
      </c>
      <c r="T327" s="418" t="s">
        <v>393</v>
      </c>
      <c r="U327"/>
      <c r="V327">
        <v>5006</v>
      </c>
    </row>
    <row r="328" spans="1:26" ht="35.1" customHeight="1">
      <c r="A328" s="388"/>
      <c r="B328" s="416"/>
      <c r="C328" s="378"/>
      <c r="D328" s="355" t="s">
        <v>394</v>
      </c>
      <c r="E328" s="285">
        <v>132010.04999999999</v>
      </c>
      <c r="F328" s="285">
        <v>119858.9</v>
      </c>
      <c r="G328" s="285">
        <v>984393.94000000006</v>
      </c>
      <c r="H328" s="285">
        <v>120489.2</v>
      </c>
      <c r="I328" s="285">
        <v>129234.9</v>
      </c>
      <c r="J328" s="285">
        <v>987133.44000000018</v>
      </c>
      <c r="K328" s="285">
        <v>120591.3</v>
      </c>
      <c r="L328" s="285">
        <v>143991.29999999996</v>
      </c>
      <c r="M328" s="285">
        <v>984779.72</v>
      </c>
      <c r="N328" s="285">
        <v>131660.16</v>
      </c>
      <c r="O328" s="285">
        <v>135354.87000000002</v>
      </c>
      <c r="P328" s="285">
        <v>1173895.2899999998</v>
      </c>
      <c r="Q328" s="417"/>
      <c r="R328" s="290">
        <f t="shared" si="33"/>
        <v>5163393.07</v>
      </c>
      <c r="S328" s="418"/>
      <c r="T328" s="418"/>
      <c r="U328"/>
    </row>
    <row r="329" spans="1:26" ht="25.5" customHeight="1">
      <c r="A329" s="388"/>
      <c r="B329" s="416"/>
      <c r="C329" s="381" t="s">
        <v>395</v>
      </c>
      <c r="D329" s="356" t="s">
        <v>415</v>
      </c>
      <c r="E329" s="287">
        <v>31</v>
      </c>
      <c r="F329" s="287">
        <v>29</v>
      </c>
      <c r="G329" s="287">
        <v>31</v>
      </c>
      <c r="H329" s="287">
        <v>15</v>
      </c>
      <c r="I329" s="287">
        <v>15</v>
      </c>
      <c r="J329" s="287">
        <v>15</v>
      </c>
      <c r="K329" s="287">
        <v>16</v>
      </c>
      <c r="L329" s="287">
        <v>31</v>
      </c>
      <c r="M329" s="287">
        <v>30</v>
      </c>
      <c r="N329" s="287">
        <v>31</v>
      </c>
      <c r="O329" s="287">
        <v>30</v>
      </c>
      <c r="P329" s="287">
        <v>31</v>
      </c>
      <c r="Q329" s="419">
        <v>750218</v>
      </c>
      <c r="R329" s="287">
        <f>SUM(E329:P329)</f>
        <v>305</v>
      </c>
      <c r="S329" s="393">
        <f>R329/R327</f>
        <v>0.953125</v>
      </c>
      <c r="T329" s="393">
        <f>R330/R328</f>
        <v>0.96869037127169555</v>
      </c>
      <c r="U329"/>
    </row>
    <row r="330" spans="1:26" ht="25.5" customHeight="1">
      <c r="A330" s="388"/>
      <c r="B330" s="416"/>
      <c r="C330" s="381"/>
      <c r="D330" s="356" t="s">
        <v>394</v>
      </c>
      <c r="E330" s="288">
        <v>132010.04999999999</v>
      </c>
      <c r="F330" s="288">
        <v>119858.9</v>
      </c>
      <c r="G330" s="288">
        <v>984393.94000000006</v>
      </c>
      <c r="H330" s="288">
        <v>120489.2</v>
      </c>
      <c r="I330" s="288">
        <v>129234.9</v>
      </c>
      <c r="J330" s="288">
        <v>987133.44000000018</v>
      </c>
      <c r="K330" s="288">
        <v>120591.3</v>
      </c>
      <c r="L330" s="288">
        <v>143991.29999999996</v>
      </c>
      <c r="M330" s="288">
        <v>984779.72</v>
      </c>
      <c r="N330" s="288">
        <v>131660.16</v>
      </c>
      <c r="O330" s="288">
        <v>135354.87000000002</v>
      </c>
      <c r="P330" s="288">
        <v>1012231.3699999999</v>
      </c>
      <c r="Q330" s="419"/>
      <c r="R330" s="294">
        <f t="shared" si="33"/>
        <v>5001729.1500000004</v>
      </c>
      <c r="S330" s="393"/>
      <c r="T330" s="393"/>
      <c r="U330"/>
    </row>
    <row r="331" spans="1:26" ht="35.1" customHeight="1">
      <c r="A331" s="388">
        <v>11</v>
      </c>
      <c r="B331" s="416" t="s">
        <v>417</v>
      </c>
      <c r="C331" s="378" t="s">
        <v>31</v>
      </c>
      <c r="D331" s="355" t="s">
        <v>323</v>
      </c>
      <c r="E331" s="284">
        <v>1</v>
      </c>
      <c r="F331" s="284">
        <v>1</v>
      </c>
      <c r="G331" s="284">
        <v>1</v>
      </c>
      <c r="H331" s="284">
        <v>1</v>
      </c>
      <c r="I331" s="284">
        <v>1</v>
      </c>
      <c r="J331" s="284">
        <v>1</v>
      </c>
      <c r="K331" s="284">
        <v>1</v>
      </c>
      <c r="L331" s="284">
        <v>1</v>
      </c>
      <c r="M331" s="284">
        <v>1</v>
      </c>
      <c r="N331" s="284">
        <v>1</v>
      </c>
      <c r="O331" s="284">
        <v>1</v>
      </c>
      <c r="P331" s="284">
        <v>1</v>
      </c>
      <c r="Q331" s="417">
        <v>789704</v>
      </c>
      <c r="R331" s="284">
        <f t="shared" si="33"/>
        <v>12</v>
      </c>
      <c r="S331" s="418" t="s">
        <v>418</v>
      </c>
      <c r="T331" s="418" t="s">
        <v>393</v>
      </c>
      <c r="U331"/>
      <c r="V331">
        <v>5005</v>
      </c>
    </row>
    <row r="332" spans="1:26" ht="35.1" customHeight="1">
      <c r="A332" s="388"/>
      <c r="B332" s="416"/>
      <c r="C332" s="378"/>
      <c r="D332" s="355" t="s">
        <v>394</v>
      </c>
      <c r="E332" s="285">
        <v>0</v>
      </c>
      <c r="F332" s="285">
        <v>0</v>
      </c>
      <c r="G332" s="285">
        <v>0</v>
      </c>
      <c r="H332" s="285">
        <v>0</v>
      </c>
      <c r="I332" s="285">
        <v>1727068.97</v>
      </c>
      <c r="J332" s="285">
        <v>0</v>
      </c>
      <c r="K332" s="348">
        <v>862068.97</v>
      </c>
      <c r="L332" s="348">
        <v>0</v>
      </c>
      <c r="M332" s="348">
        <v>0</v>
      </c>
      <c r="N332" s="285">
        <v>0</v>
      </c>
      <c r="O332" s="285">
        <v>0</v>
      </c>
      <c r="P332" s="285">
        <v>4148619.87</v>
      </c>
      <c r="Q332" s="417"/>
      <c r="R332" s="290">
        <f t="shared" si="33"/>
        <v>6737757.8100000005</v>
      </c>
      <c r="S332" s="418"/>
      <c r="T332" s="418"/>
      <c r="U332"/>
    </row>
    <row r="333" spans="1:26" ht="24" customHeight="1">
      <c r="A333" s="388"/>
      <c r="B333" s="416"/>
      <c r="C333" s="381" t="s">
        <v>395</v>
      </c>
      <c r="D333" s="356" t="s">
        <v>323</v>
      </c>
      <c r="E333" s="287">
        <v>4</v>
      </c>
      <c r="F333" s="287">
        <v>1</v>
      </c>
      <c r="G333" s="287">
        <v>1</v>
      </c>
      <c r="H333" s="287">
        <v>0</v>
      </c>
      <c r="I333" s="287">
        <v>0</v>
      </c>
      <c r="J333" s="287">
        <v>0</v>
      </c>
      <c r="K333" s="287">
        <v>0</v>
      </c>
      <c r="L333" s="331">
        <v>0</v>
      </c>
      <c r="M333" s="331">
        <v>0</v>
      </c>
      <c r="N333" s="287">
        <v>0</v>
      </c>
      <c r="O333" s="287">
        <v>0</v>
      </c>
      <c r="P333" s="287">
        <v>0</v>
      </c>
      <c r="Q333" s="419">
        <v>394852</v>
      </c>
      <c r="R333" s="287">
        <f t="shared" si="33"/>
        <v>6</v>
      </c>
      <c r="S333" s="393">
        <f>R333/R331</f>
        <v>0.5</v>
      </c>
      <c r="T333" s="393">
        <f>R334/R332</f>
        <v>0.38427293070066582</v>
      </c>
      <c r="U333"/>
    </row>
    <row r="334" spans="1:26" ht="24" customHeight="1">
      <c r="A334" s="388"/>
      <c r="B334" s="416"/>
      <c r="C334" s="381"/>
      <c r="D334" s="356" t="s">
        <v>394</v>
      </c>
      <c r="E334" s="349">
        <v>0</v>
      </c>
      <c r="F334" s="349">
        <v>0</v>
      </c>
      <c r="G334" s="349">
        <v>0</v>
      </c>
      <c r="H334" s="349">
        <v>0</v>
      </c>
      <c r="I334" s="349">
        <v>1727068.97</v>
      </c>
      <c r="J334" s="349">
        <v>0</v>
      </c>
      <c r="K334" s="288">
        <v>862068.97</v>
      </c>
      <c r="L334" s="349">
        <v>0</v>
      </c>
      <c r="M334" s="349">
        <v>0</v>
      </c>
      <c r="N334" s="349">
        <v>0</v>
      </c>
      <c r="O334" s="349">
        <v>0</v>
      </c>
      <c r="P334" s="349">
        <v>0</v>
      </c>
      <c r="Q334" s="419"/>
      <c r="R334" s="294">
        <f t="shared" si="33"/>
        <v>2589137.94</v>
      </c>
      <c r="S334" s="393"/>
      <c r="T334" s="393"/>
      <c r="U334"/>
    </row>
    <row r="335" spans="1:26" ht="44.25" customHeight="1">
      <c r="A335" s="384" t="s">
        <v>368</v>
      </c>
      <c r="B335" s="384"/>
      <c r="C335" s="413" t="s">
        <v>31</v>
      </c>
      <c r="D335" s="250" t="s">
        <v>88</v>
      </c>
      <c r="E335" s="273">
        <f>+E291+E295+E299+E303+E307+E311+E315+E319+E323+E327+E331</f>
        <v>144</v>
      </c>
      <c r="F335" s="273">
        <f t="shared" ref="F335:P338" si="34">+F291+F295+F299+F303+F307+F311+F315+F319+F323+F327+F331</f>
        <v>142</v>
      </c>
      <c r="G335" s="273">
        <f t="shared" si="34"/>
        <v>144</v>
      </c>
      <c r="H335" s="273">
        <f t="shared" si="34"/>
        <v>58</v>
      </c>
      <c r="I335" s="273">
        <f t="shared" si="34"/>
        <v>58</v>
      </c>
      <c r="J335" s="273">
        <f t="shared" si="34"/>
        <v>58</v>
      </c>
      <c r="K335" s="273">
        <f t="shared" si="34"/>
        <v>87</v>
      </c>
      <c r="L335" s="273">
        <f t="shared" si="34"/>
        <v>96</v>
      </c>
      <c r="M335" s="273">
        <f t="shared" si="34"/>
        <v>111</v>
      </c>
      <c r="N335" s="273">
        <f t="shared" si="34"/>
        <v>116</v>
      </c>
      <c r="O335" s="273">
        <f t="shared" si="34"/>
        <v>126</v>
      </c>
      <c r="P335" s="273">
        <f t="shared" si="34"/>
        <v>143</v>
      </c>
      <c r="Q335" s="414">
        <v>789704</v>
      </c>
      <c r="R335" s="251">
        <f t="shared" si="33"/>
        <v>1283</v>
      </c>
      <c r="S335" s="387" t="s">
        <v>89</v>
      </c>
      <c r="T335" s="387" t="s">
        <v>90</v>
      </c>
      <c r="U335"/>
    </row>
    <row r="336" spans="1:26" ht="44.25" customHeight="1">
      <c r="A336" s="384"/>
      <c r="B336" s="384"/>
      <c r="C336" s="413"/>
      <c r="D336" s="250" t="s">
        <v>394</v>
      </c>
      <c r="E336" s="252">
        <f>+E292+E296+E300+E304+E308+E312+E316+E320+E324+E328+E332</f>
        <v>4755599.59</v>
      </c>
      <c r="F336" s="252">
        <f t="shared" si="34"/>
        <v>1329720.9200000002</v>
      </c>
      <c r="G336" s="252">
        <f t="shared" si="34"/>
        <v>2199173.06</v>
      </c>
      <c r="H336" s="252">
        <f t="shared" si="34"/>
        <v>1360143.02</v>
      </c>
      <c r="I336" s="252">
        <f t="shared" si="34"/>
        <v>3123955.25</v>
      </c>
      <c r="J336" s="252">
        <f t="shared" si="34"/>
        <v>2285032.6900000004</v>
      </c>
      <c r="K336" s="252">
        <f t="shared" si="34"/>
        <v>2241887.5300000003</v>
      </c>
      <c r="L336" s="252">
        <f t="shared" si="34"/>
        <v>1358858.1800000002</v>
      </c>
      <c r="M336" s="252">
        <f t="shared" si="34"/>
        <v>2177897.9900000002</v>
      </c>
      <c r="N336" s="252">
        <f t="shared" si="34"/>
        <v>1307344.53</v>
      </c>
      <c r="O336" s="252">
        <f t="shared" si="34"/>
        <v>1539976.4400000002</v>
      </c>
      <c r="P336" s="252">
        <f t="shared" si="34"/>
        <v>10348246.15</v>
      </c>
      <c r="Q336" s="414"/>
      <c r="R336" s="252">
        <f>SUM(E336:P336)</f>
        <v>34027835.350000009</v>
      </c>
      <c r="S336" s="387"/>
      <c r="T336" s="387"/>
      <c r="U336"/>
      <c r="Y336">
        <v>33815995.609999999</v>
      </c>
      <c r="Z336">
        <v>33815995.609999999</v>
      </c>
    </row>
    <row r="337" spans="1:25" ht="23.25" customHeight="1">
      <c r="A337" s="384"/>
      <c r="B337" s="384"/>
      <c r="C337" s="413" t="s">
        <v>395</v>
      </c>
      <c r="D337" s="274" t="s">
        <v>88</v>
      </c>
      <c r="E337" s="273">
        <f>+E293+E297+E301+E305+E309+E313+E317+E321+E325+E329+E333</f>
        <v>143</v>
      </c>
      <c r="F337" s="273">
        <f t="shared" si="34"/>
        <v>136</v>
      </c>
      <c r="G337" s="273">
        <f t="shared" si="34"/>
        <v>84</v>
      </c>
      <c r="H337" s="273">
        <f t="shared" si="34"/>
        <v>49</v>
      </c>
      <c r="I337" s="273">
        <f t="shared" si="34"/>
        <v>49</v>
      </c>
      <c r="J337" s="273">
        <f t="shared" si="34"/>
        <v>49</v>
      </c>
      <c r="K337" s="273">
        <f t="shared" si="34"/>
        <v>66</v>
      </c>
      <c r="L337" s="273">
        <f t="shared" si="34"/>
        <v>92</v>
      </c>
      <c r="M337" s="273">
        <f t="shared" si="34"/>
        <v>96</v>
      </c>
      <c r="N337" s="273">
        <f t="shared" si="34"/>
        <v>99</v>
      </c>
      <c r="O337" s="273">
        <f t="shared" si="34"/>
        <v>130</v>
      </c>
      <c r="P337" s="273">
        <f t="shared" si="34"/>
        <v>119</v>
      </c>
      <c r="Q337" s="414">
        <f>SUM(Q305+Q309+Q313+Q317+Q321+Q325+Q329+Q333)/11</f>
        <v>287093</v>
      </c>
      <c r="R337" s="253">
        <f t="shared" si="33"/>
        <v>1112</v>
      </c>
      <c r="S337" s="415">
        <f>R337/R335</f>
        <v>0.8667186282151208</v>
      </c>
      <c r="T337" s="415">
        <f>R338/R336</f>
        <v>0.76967189304329342</v>
      </c>
      <c r="U337"/>
      <c r="Y337" s="243">
        <f>R336-Y336</f>
        <v>211839.74000000954</v>
      </c>
    </row>
    <row r="338" spans="1:25" ht="23.25" customHeight="1">
      <c r="A338" s="384"/>
      <c r="B338" s="384"/>
      <c r="C338" s="413"/>
      <c r="D338" s="274" t="s">
        <v>394</v>
      </c>
      <c r="E338" s="252">
        <f>+E294+E298+E302+E306+E310+E314+E318+E322+E326+E330+E334</f>
        <v>4755599.59</v>
      </c>
      <c r="F338" s="252">
        <f t="shared" si="34"/>
        <v>1329720.9200000002</v>
      </c>
      <c r="G338" s="252">
        <f t="shared" si="34"/>
        <v>2199173.06</v>
      </c>
      <c r="H338" s="252">
        <f t="shared" si="34"/>
        <v>1360143.02</v>
      </c>
      <c r="I338" s="252">
        <f t="shared" si="34"/>
        <v>3123955.25</v>
      </c>
      <c r="J338" s="252">
        <f t="shared" si="34"/>
        <v>2285032.6900000004</v>
      </c>
      <c r="K338" s="252">
        <f t="shared" si="34"/>
        <v>2241887.5300000003</v>
      </c>
      <c r="L338" s="252">
        <f t="shared" si="34"/>
        <v>1358858.1800000002</v>
      </c>
      <c r="M338" s="252">
        <f t="shared" si="34"/>
        <v>2177897.9900000002</v>
      </c>
      <c r="N338" s="252">
        <f t="shared" si="34"/>
        <v>1307344.53</v>
      </c>
      <c r="O338" s="252">
        <f t="shared" si="34"/>
        <v>1539976.4400000002</v>
      </c>
      <c r="P338" s="252">
        <f t="shared" si="34"/>
        <v>2510679.25</v>
      </c>
      <c r="Q338" s="414"/>
      <c r="R338" s="252">
        <f t="shared" si="33"/>
        <v>26190268.450000007</v>
      </c>
      <c r="S338" s="415"/>
      <c r="T338" s="415"/>
      <c r="U338"/>
    </row>
    <row r="339" spans="1:25" s="13" customFormat="1" ht="34.5" customHeight="1">
      <c r="A339" s="401" t="s">
        <v>434</v>
      </c>
      <c r="B339" s="402"/>
      <c r="C339" s="402"/>
      <c r="D339" s="402"/>
      <c r="E339" s="402"/>
      <c r="F339" s="402"/>
      <c r="G339" s="402"/>
      <c r="H339" s="402"/>
      <c r="I339" s="402"/>
      <c r="J339" s="402"/>
      <c r="K339" s="402"/>
      <c r="L339" s="402"/>
      <c r="M339" s="402"/>
      <c r="N339" s="402"/>
      <c r="O339" s="402"/>
      <c r="P339" s="402"/>
      <c r="Q339" s="402"/>
      <c r="R339" s="402"/>
      <c r="S339" s="402"/>
      <c r="T339" s="403"/>
      <c r="U339" s="12"/>
    </row>
    <row r="340" spans="1:25" ht="18">
      <c r="A340" s="404" t="s">
        <v>66</v>
      </c>
      <c r="B340" s="404"/>
      <c r="C340" s="404"/>
      <c r="D340" s="404"/>
      <c r="E340" s="404"/>
      <c r="F340" s="404"/>
      <c r="G340" s="404"/>
      <c r="H340" s="404"/>
      <c r="I340" s="404"/>
      <c r="J340" s="404"/>
      <c r="K340" s="404" t="s">
        <v>67</v>
      </c>
      <c r="L340" s="404"/>
      <c r="M340" s="404"/>
      <c r="N340" s="404"/>
      <c r="O340" s="404"/>
      <c r="P340" s="404"/>
      <c r="Q340" s="404"/>
      <c r="R340" s="404"/>
      <c r="S340" s="404"/>
      <c r="T340" s="404"/>
      <c r="U340"/>
    </row>
    <row r="341" spans="1:25" ht="39.75" customHeight="1">
      <c r="A341" s="405" t="s">
        <v>419</v>
      </c>
      <c r="B341" s="405"/>
      <c r="C341" s="405"/>
      <c r="D341" s="405"/>
      <c r="E341" s="405"/>
      <c r="F341" s="405"/>
      <c r="G341" s="405"/>
      <c r="H341" s="405"/>
      <c r="I341" s="405"/>
      <c r="J341" s="405"/>
      <c r="K341" s="406" t="s">
        <v>444</v>
      </c>
      <c r="L341" s="406"/>
      <c r="M341" s="406"/>
      <c r="N341" s="406"/>
      <c r="O341" s="406"/>
      <c r="P341" s="406"/>
      <c r="Q341" s="406"/>
      <c r="R341" s="406"/>
      <c r="S341" s="406"/>
      <c r="T341" s="406"/>
      <c r="U341"/>
    </row>
    <row r="342" spans="1:25" ht="18">
      <c r="A342" s="404" t="s">
        <v>69</v>
      </c>
      <c r="B342" s="404"/>
      <c r="C342" s="404"/>
      <c r="D342" s="404"/>
      <c r="E342" s="404"/>
      <c r="F342" s="404"/>
      <c r="G342" s="404"/>
      <c r="H342" s="404"/>
      <c r="I342" s="404"/>
      <c r="J342" s="404"/>
      <c r="K342" s="404" t="s">
        <v>313</v>
      </c>
      <c r="L342" s="404"/>
      <c r="M342" s="404"/>
      <c r="N342" s="404"/>
      <c r="O342" s="404"/>
      <c r="P342" s="404"/>
      <c r="Q342" s="404"/>
      <c r="R342" s="404"/>
      <c r="S342" s="404"/>
      <c r="T342" s="404"/>
      <c r="U342"/>
    </row>
    <row r="343" spans="1:25" ht="87" customHeight="1">
      <c r="A343" s="410" t="s">
        <v>470</v>
      </c>
      <c r="B343" s="411"/>
      <c r="C343" s="411"/>
      <c r="D343" s="411"/>
      <c r="E343" s="411"/>
      <c r="F343" s="411"/>
      <c r="G343" s="411"/>
      <c r="H343" s="411"/>
      <c r="I343" s="411"/>
      <c r="J343" s="412"/>
      <c r="K343" s="407" t="s">
        <v>441</v>
      </c>
      <c r="L343" s="408"/>
      <c r="M343" s="408"/>
      <c r="N343" s="408"/>
      <c r="O343" s="408"/>
      <c r="P343" s="408"/>
      <c r="Q343" s="408"/>
      <c r="R343" s="408"/>
      <c r="S343" s="408"/>
      <c r="T343" s="409"/>
      <c r="U343"/>
    </row>
    <row r="344" spans="1:25">
      <c r="A344" s="399" t="s">
        <v>17</v>
      </c>
      <c r="B344" s="399"/>
      <c r="C344" s="399"/>
      <c r="D344" s="399"/>
      <c r="E344" s="399"/>
      <c r="F344" s="399"/>
      <c r="G344" s="399"/>
      <c r="H344" s="399"/>
      <c r="I344" s="399"/>
      <c r="J344" s="399"/>
      <c r="K344" s="399"/>
      <c r="L344" s="399"/>
      <c r="M344" s="399"/>
      <c r="N344" s="399"/>
      <c r="O344" s="399"/>
      <c r="P344" s="399"/>
      <c r="Q344" s="399"/>
      <c r="R344" s="399"/>
      <c r="S344" s="399"/>
      <c r="T344" s="399"/>
      <c r="U344"/>
    </row>
    <row r="345" spans="1:25" s="60" customFormat="1" ht="15.75">
      <c r="A345" s="400" t="s">
        <v>18</v>
      </c>
      <c r="B345" s="400"/>
      <c r="C345" s="400"/>
      <c r="D345" s="400"/>
      <c r="E345" s="400" t="s">
        <v>20</v>
      </c>
      <c r="F345" s="400"/>
      <c r="G345" s="400"/>
      <c r="H345" s="400"/>
      <c r="I345" s="400" t="s">
        <v>22</v>
      </c>
      <c r="J345" s="400"/>
      <c r="K345" s="400"/>
      <c r="L345" s="400"/>
      <c r="M345" s="400"/>
      <c r="N345" s="400"/>
      <c r="O345" s="400"/>
      <c r="P345" s="400"/>
      <c r="Q345" s="400" t="s">
        <v>24</v>
      </c>
      <c r="R345" s="400"/>
      <c r="S345" s="400"/>
      <c r="T345" s="400"/>
    </row>
    <row r="346" spans="1:25" s="60" customFormat="1" ht="15" customHeight="1">
      <c r="A346" s="395" t="s">
        <v>19</v>
      </c>
      <c r="B346" s="395"/>
      <c r="C346" s="395"/>
      <c r="D346" s="395"/>
      <c r="E346" s="396" t="s">
        <v>21</v>
      </c>
      <c r="F346" s="396"/>
      <c r="G346" s="396"/>
      <c r="H346" s="396"/>
      <c r="I346" s="395" t="s">
        <v>23</v>
      </c>
      <c r="J346" s="395"/>
      <c r="K346" s="395"/>
      <c r="L346" s="395"/>
      <c r="M346" s="395"/>
      <c r="N346" s="395"/>
      <c r="O346" s="395"/>
      <c r="P346" s="395"/>
      <c r="Q346" s="395" t="s">
        <v>25</v>
      </c>
      <c r="R346" s="395"/>
      <c r="S346" s="395"/>
      <c r="T346" s="395"/>
    </row>
    <row r="347" spans="1:25" hidden="1">
      <c r="A347" s="238"/>
      <c r="B347" s="238"/>
      <c r="C347" s="238"/>
      <c r="D347" s="238"/>
      <c r="E347" s="239"/>
      <c r="F347" s="239"/>
      <c r="G347" s="239"/>
      <c r="H347" s="239"/>
      <c r="I347" s="240"/>
      <c r="J347" s="240"/>
      <c r="K347" s="240"/>
      <c r="L347" s="240"/>
      <c r="M347" s="240"/>
      <c r="N347" s="240"/>
      <c r="O347" s="240"/>
      <c r="P347" s="240"/>
      <c r="Q347" s="240"/>
      <c r="R347" s="240"/>
      <c r="S347" s="240"/>
      <c r="T347" s="237"/>
      <c r="U347"/>
    </row>
    <row r="348" spans="1:25" s="28" customFormat="1" ht="9.75" customHeight="1">
      <c r="A348" s="397" t="s">
        <v>72</v>
      </c>
      <c r="B348" s="397" t="s">
        <v>73</v>
      </c>
      <c r="C348" s="397" t="s">
        <v>46</v>
      </c>
      <c r="D348" s="397" t="s">
        <v>28</v>
      </c>
      <c r="E348" s="398" t="s">
        <v>33</v>
      </c>
      <c r="F348" s="398" t="s">
        <v>34</v>
      </c>
      <c r="G348" s="398" t="s">
        <v>35</v>
      </c>
      <c r="H348" s="398" t="s">
        <v>36</v>
      </c>
      <c r="I348" s="398" t="s">
        <v>37</v>
      </c>
      <c r="J348" s="398" t="s">
        <v>38</v>
      </c>
      <c r="K348" s="398" t="s">
        <v>39</v>
      </c>
      <c r="L348" s="398" t="s">
        <v>40</v>
      </c>
      <c r="M348" s="398" t="s">
        <v>41</v>
      </c>
      <c r="N348" s="398" t="s">
        <v>47</v>
      </c>
      <c r="O348" s="398" t="s">
        <v>42</v>
      </c>
      <c r="P348" s="398" t="s">
        <v>43</v>
      </c>
      <c r="Q348" s="397" t="s">
        <v>74</v>
      </c>
      <c r="R348" s="397" t="s">
        <v>75</v>
      </c>
      <c r="S348" s="397" t="s">
        <v>76</v>
      </c>
      <c r="T348" s="397"/>
    </row>
    <row r="349" spans="1:25" s="28" customFormat="1" ht="9.75" customHeight="1">
      <c r="A349" s="397"/>
      <c r="B349" s="397"/>
      <c r="C349" s="397"/>
      <c r="D349" s="397"/>
      <c r="E349" s="398"/>
      <c r="F349" s="398"/>
      <c r="G349" s="398"/>
      <c r="H349" s="398"/>
      <c r="I349" s="398"/>
      <c r="J349" s="398"/>
      <c r="K349" s="398"/>
      <c r="L349" s="398"/>
      <c r="M349" s="398"/>
      <c r="N349" s="398"/>
      <c r="O349" s="398"/>
      <c r="P349" s="398"/>
      <c r="Q349" s="397"/>
      <c r="R349" s="397"/>
      <c r="S349" s="280" t="s">
        <v>30</v>
      </c>
      <c r="T349" s="280" t="s">
        <v>77</v>
      </c>
      <c r="W349" s="228"/>
    </row>
    <row r="350" spans="1:25" ht="30.75" customHeight="1">
      <c r="A350" s="388">
        <v>1</v>
      </c>
      <c r="B350" s="389" t="s">
        <v>423</v>
      </c>
      <c r="C350" s="378" t="s">
        <v>463</v>
      </c>
      <c r="D350" s="359" t="s">
        <v>29</v>
      </c>
      <c r="E350" s="284">
        <v>93</v>
      </c>
      <c r="F350" s="284">
        <v>142</v>
      </c>
      <c r="G350" s="284">
        <v>119</v>
      </c>
      <c r="H350" s="284">
        <v>7</v>
      </c>
      <c r="I350" s="284">
        <v>4</v>
      </c>
      <c r="J350" s="284">
        <v>5</v>
      </c>
      <c r="K350" s="284">
        <v>2</v>
      </c>
      <c r="L350" s="284">
        <v>2</v>
      </c>
      <c r="M350" s="284">
        <v>2</v>
      </c>
      <c r="N350" s="284">
        <v>2</v>
      </c>
      <c r="O350" s="284">
        <v>2</v>
      </c>
      <c r="P350" s="284">
        <v>2</v>
      </c>
      <c r="Q350" s="390">
        <f>R350*24</f>
        <v>9168</v>
      </c>
      <c r="R350" s="284">
        <f t="shared" ref="R350:R369" si="35">SUM(E350:P350)</f>
        <v>382</v>
      </c>
      <c r="S350" s="391" t="s">
        <v>424</v>
      </c>
      <c r="T350" s="391" t="s">
        <v>316</v>
      </c>
      <c r="U350"/>
      <c r="W350" s="226"/>
    </row>
    <row r="351" spans="1:25" ht="30.75" customHeight="1">
      <c r="A351" s="388"/>
      <c r="B351" s="389"/>
      <c r="C351" s="378"/>
      <c r="D351" s="359" t="s">
        <v>79</v>
      </c>
      <c r="E351" s="286">
        <v>390137.85</v>
      </c>
      <c r="F351" s="286">
        <v>379605.37</v>
      </c>
      <c r="G351" s="286">
        <v>366531.05</v>
      </c>
      <c r="H351" s="286">
        <v>349990.93</v>
      </c>
      <c r="I351" s="286">
        <v>366124.56</v>
      </c>
      <c r="J351" s="369">
        <v>260474.3</v>
      </c>
      <c r="K351" s="286">
        <v>261210.77000000005</v>
      </c>
      <c r="L351" s="286">
        <v>238286.05999999994</v>
      </c>
      <c r="M351" s="286">
        <v>241551.72</v>
      </c>
      <c r="N351" s="286">
        <v>242043.75</v>
      </c>
      <c r="O351" s="286">
        <v>248330.65</v>
      </c>
      <c r="P351" s="286">
        <v>2527739.7999999998</v>
      </c>
      <c r="Q351" s="390"/>
      <c r="R351" s="286">
        <f t="shared" si="35"/>
        <v>5872026.8100000005</v>
      </c>
      <c r="S351" s="391"/>
      <c r="T351" s="391"/>
      <c r="U351"/>
    </row>
    <row r="352" spans="1:25" ht="21.75" customHeight="1">
      <c r="A352" s="388"/>
      <c r="B352" s="389"/>
      <c r="C352" s="381" t="s">
        <v>45</v>
      </c>
      <c r="D352" s="360" t="s">
        <v>29</v>
      </c>
      <c r="E352" s="293">
        <v>7</v>
      </c>
      <c r="F352" s="293">
        <v>4</v>
      </c>
      <c r="G352" s="293">
        <v>10</v>
      </c>
      <c r="H352" s="293">
        <v>0</v>
      </c>
      <c r="I352" s="293">
        <v>4</v>
      </c>
      <c r="J352" s="293">
        <v>7</v>
      </c>
      <c r="K352" s="293">
        <v>22</v>
      </c>
      <c r="L352" s="293">
        <v>26</v>
      </c>
      <c r="M352" s="293">
        <v>24</v>
      </c>
      <c r="N352" s="293">
        <v>35</v>
      </c>
      <c r="O352" s="293">
        <v>32</v>
      </c>
      <c r="P352" s="293">
        <v>24</v>
      </c>
      <c r="Q352" s="394">
        <f>R352*24</f>
        <v>4680</v>
      </c>
      <c r="R352" s="287">
        <f t="shared" si="35"/>
        <v>195</v>
      </c>
      <c r="S352" s="393">
        <f>R352/R350</f>
        <v>0.51047120418848169</v>
      </c>
      <c r="T352" s="393">
        <f>R353/R351</f>
        <v>0.59091307861382192</v>
      </c>
      <c r="U352"/>
    </row>
    <row r="353" spans="1:26" ht="21.75" customHeight="1">
      <c r="A353" s="388"/>
      <c r="B353" s="389"/>
      <c r="C353" s="381"/>
      <c r="D353" s="360" t="s">
        <v>79</v>
      </c>
      <c r="E353" s="33">
        <v>390137.85</v>
      </c>
      <c r="F353" s="33">
        <v>379605.37</v>
      </c>
      <c r="G353" s="33">
        <v>366531.05</v>
      </c>
      <c r="H353" s="33">
        <v>349990.93</v>
      </c>
      <c r="I353" s="33">
        <v>366124.56</v>
      </c>
      <c r="J353" s="370">
        <v>260474.3</v>
      </c>
      <c r="K353" s="33">
        <v>261210.77000000005</v>
      </c>
      <c r="L353" s="33">
        <v>238286.06</v>
      </c>
      <c r="M353" s="33">
        <v>241551.72</v>
      </c>
      <c r="N353" s="33">
        <v>242043.75</v>
      </c>
      <c r="O353" s="33">
        <v>248330.65</v>
      </c>
      <c r="P353" s="33">
        <v>125570.43</v>
      </c>
      <c r="Q353" s="394"/>
      <c r="R353" s="288">
        <f t="shared" si="35"/>
        <v>3469857.4400000004</v>
      </c>
      <c r="S353" s="393"/>
      <c r="T353" s="393"/>
      <c r="U353"/>
    </row>
    <row r="354" spans="1:26" ht="30.75" customHeight="1">
      <c r="A354" s="388">
        <v>2</v>
      </c>
      <c r="B354" s="389" t="s">
        <v>425</v>
      </c>
      <c r="C354" s="378" t="s">
        <v>463</v>
      </c>
      <c r="D354" s="359" t="s">
        <v>88</v>
      </c>
      <c r="E354" s="284">
        <v>19</v>
      </c>
      <c r="F354" s="284">
        <v>17</v>
      </c>
      <c r="G354" s="284">
        <v>9</v>
      </c>
      <c r="H354" s="284">
        <v>1</v>
      </c>
      <c r="I354" s="284">
        <v>1</v>
      </c>
      <c r="J354" s="284">
        <v>1</v>
      </c>
      <c r="K354" s="284">
        <v>1</v>
      </c>
      <c r="L354" s="284">
        <v>10</v>
      </c>
      <c r="M354" s="284">
        <v>15</v>
      </c>
      <c r="N354" s="284">
        <v>12</v>
      </c>
      <c r="O354" s="284">
        <v>15</v>
      </c>
      <c r="P354" s="284">
        <v>11</v>
      </c>
      <c r="Q354" s="390">
        <v>21250</v>
      </c>
      <c r="R354" s="284">
        <f t="shared" si="35"/>
        <v>112</v>
      </c>
      <c r="S354" s="391" t="s">
        <v>426</v>
      </c>
      <c r="T354" s="391" t="s">
        <v>316</v>
      </c>
      <c r="U354"/>
    </row>
    <row r="355" spans="1:26" ht="30.75" customHeight="1">
      <c r="A355" s="388"/>
      <c r="B355" s="389"/>
      <c r="C355" s="378"/>
      <c r="D355" s="359" t="s">
        <v>79</v>
      </c>
      <c r="E355" s="352">
        <v>121811.19</v>
      </c>
      <c r="F355" s="352">
        <v>104245.02</v>
      </c>
      <c r="G355" s="352">
        <v>98690.38</v>
      </c>
      <c r="H355" s="352">
        <v>100636.75</v>
      </c>
      <c r="I355" s="352">
        <v>109615.5</v>
      </c>
      <c r="J355" s="285">
        <v>96037.02</v>
      </c>
      <c r="K355" s="352">
        <v>95248.909999999974</v>
      </c>
      <c r="L355" s="352">
        <v>105132.46000000002</v>
      </c>
      <c r="M355" s="352">
        <v>118915.09999999999</v>
      </c>
      <c r="N355" s="352">
        <v>103432.57</v>
      </c>
      <c r="O355" s="352">
        <v>132680.95999999999</v>
      </c>
      <c r="P355" s="352">
        <v>490749.61</v>
      </c>
      <c r="Q355" s="390"/>
      <c r="R355" s="286">
        <f t="shared" si="35"/>
        <v>1677195.4699999997</v>
      </c>
      <c r="S355" s="391"/>
      <c r="T355" s="391"/>
      <c r="U355"/>
    </row>
    <row r="356" spans="1:26" ht="15.75">
      <c r="A356" s="388"/>
      <c r="B356" s="389"/>
      <c r="C356" s="381" t="s">
        <v>45</v>
      </c>
      <c r="D356" s="360" t="s">
        <v>88</v>
      </c>
      <c r="E356" s="287">
        <v>7</v>
      </c>
      <c r="F356" s="287">
        <v>6</v>
      </c>
      <c r="G356" s="287">
        <v>5</v>
      </c>
      <c r="H356" s="287">
        <v>3</v>
      </c>
      <c r="I356" s="287">
        <v>3</v>
      </c>
      <c r="J356" s="287">
        <v>3</v>
      </c>
      <c r="K356" s="287">
        <v>4</v>
      </c>
      <c r="L356" s="287">
        <v>3</v>
      </c>
      <c r="M356" s="287">
        <v>27</v>
      </c>
      <c r="N356" s="287">
        <v>27</v>
      </c>
      <c r="O356" s="287">
        <v>42</v>
      </c>
      <c r="P356" s="287">
        <v>36</v>
      </c>
      <c r="Q356" s="392">
        <v>83000</v>
      </c>
      <c r="R356" s="287">
        <f t="shared" si="35"/>
        <v>166</v>
      </c>
      <c r="S356" s="393">
        <f>R356/R354</f>
        <v>1.4821428571428572</v>
      </c>
      <c r="T356" s="393">
        <f>R357/R355</f>
        <v>0.76654055117379971</v>
      </c>
      <c r="U356"/>
    </row>
    <row r="357" spans="1:26" ht="15.75">
      <c r="A357" s="388"/>
      <c r="B357" s="389"/>
      <c r="C357" s="381"/>
      <c r="D357" s="360" t="s">
        <v>79</v>
      </c>
      <c r="E357" s="353">
        <v>121811.19</v>
      </c>
      <c r="F357" s="353">
        <v>104245.02</v>
      </c>
      <c r="G357" s="353">
        <v>98690.38</v>
      </c>
      <c r="H357" s="353">
        <v>100636.75</v>
      </c>
      <c r="I357" s="353">
        <v>109615.5</v>
      </c>
      <c r="J357" s="288">
        <v>96037.02</v>
      </c>
      <c r="K357" s="288">
        <v>95248.909999999974</v>
      </c>
      <c r="L357" s="288">
        <v>105132.46000000002</v>
      </c>
      <c r="M357" s="288">
        <v>118915.09999999999</v>
      </c>
      <c r="N357" s="288">
        <v>103432.57</v>
      </c>
      <c r="O357" s="288">
        <v>132680.95999999999</v>
      </c>
      <c r="P357" s="288">
        <v>99192.48</v>
      </c>
      <c r="Q357" s="392"/>
      <c r="R357" s="288">
        <f t="shared" si="35"/>
        <v>1285638.3399999999</v>
      </c>
      <c r="S357" s="393"/>
      <c r="T357" s="393"/>
      <c r="U357"/>
    </row>
    <row r="358" spans="1:26" ht="27" customHeight="1">
      <c r="A358" s="388">
        <v>3</v>
      </c>
      <c r="B358" s="389" t="s">
        <v>427</v>
      </c>
      <c r="C358" s="378" t="s">
        <v>463</v>
      </c>
      <c r="D358" s="359" t="s">
        <v>420</v>
      </c>
      <c r="E358" s="354">
        <v>3209</v>
      </c>
      <c r="F358" s="354">
        <v>2994</v>
      </c>
      <c r="G358" s="354">
        <v>3144</v>
      </c>
      <c r="H358" s="354">
        <v>2400</v>
      </c>
      <c r="I358" s="354">
        <v>2421</v>
      </c>
      <c r="J358" s="354">
        <v>3650</v>
      </c>
      <c r="K358" s="354">
        <v>3200</v>
      </c>
      <c r="L358" s="354">
        <v>3700</v>
      </c>
      <c r="M358" s="354">
        <v>3500</v>
      </c>
      <c r="N358" s="354">
        <v>2800</v>
      </c>
      <c r="O358" s="354">
        <v>2800</v>
      </c>
      <c r="P358" s="354">
        <v>2500</v>
      </c>
      <c r="Q358" s="390">
        <v>14525</v>
      </c>
      <c r="R358" s="284">
        <f t="shared" si="35"/>
        <v>36318</v>
      </c>
      <c r="S358" s="391" t="s">
        <v>428</v>
      </c>
      <c r="T358" s="391" t="s">
        <v>316</v>
      </c>
      <c r="U358"/>
    </row>
    <row r="359" spans="1:26" ht="27" customHeight="1">
      <c r="A359" s="388"/>
      <c r="B359" s="389"/>
      <c r="C359" s="378"/>
      <c r="D359" s="359" t="s">
        <v>79</v>
      </c>
      <c r="E359" s="352">
        <v>373078.41</v>
      </c>
      <c r="F359" s="352">
        <v>351187.13</v>
      </c>
      <c r="G359" s="352">
        <v>355702.1</v>
      </c>
      <c r="H359" s="352">
        <v>325993.52</v>
      </c>
      <c r="I359" s="352">
        <v>358616.51</v>
      </c>
      <c r="J359" s="285">
        <v>311607.55</v>
      </c>
      <c r="K359" s="352">
        <v>319459.99000000011</v>
      </c>
      <c r="L359" s="352">
        <v>320489.78000000009</v>
      </c>
      <c r="M359" s="352">
        <v>322937.99000000005</v>
      </c>
      <c r="N359" s="352">
        <v>304865.65000000002</v>
      </c>
      <c r="O359" s="352">
        <v>326473.46000000002</v>
      </c>
      <c r="P359" s="352">
        <v>732283.73</v>
      </c>
      <c r="Q359" s="390"/>
      <c r="R359" s="286">
        <f t="shared" si="35"/>
        <v>4402695.82</v>
      </c>
      <c r="S359" s="391"/>
      <c r="T359" s="391"/>
      <c r="U359"/>
    </row>
    <row r="360" spans="1:26" ht="15.75">
      <c r="A360" s="388"/>
      <c r="B360" s="389"/>
      <c r="C360" s="381" t="s">
        <v>45</v>
      </c>
      <c r="D360" s="360" t="s">
        <v>420</v>
      </c>
      <c r="E360" s="287">
        <v>2854</v>
      </c>
      <c r="F360" s="287">
        <v>2887</v>
      </c>
      <c r="G360" s="287">
        <v>2656</v>
      </c>
      <c r="H360" s="287">
        <v>2400</v>
      </c>
      <c r="I360" s="287">
        <v>2421</v>
      </c>
      <c r="J360" s="287">
        <v>3645</v>
      </c>
      <c r="K360" s="287">
        <v>2874</v>
      </c>
      <c r="L360" s="287">
        <v>2819</v>
      </c>
      <c r="M360" s="287">
        <v>3599</v>
      </c>
      <c r="N360" s="287">
        <v>3256</v>
      </c>
      <c r="O360" s="287">
        <v>2694</v>
      </c>
      <c r="P360" s="287">
        <v>2679</v>
      </c>
      <c r="Q360" s="392">
        <f>R360*4.2</f>
        <v>146092.80000000002</v>
      </c>
      <c r="R360" s="287">
        <f t="shared" si="35"/>
        <v>34784</v>
      </c>
      <c r="S360" s="393">
        <f>R360/R358</f>
        <v>0.95776199129908035</v>
      </c>
      <c r="T360" s="393">
        <f>R361/R359</f>
        <v>0.90450293929231751</v>
      </c>
      <c r="U360"/>
    </row>
    <row r="361" spans="1:26" ht="15.75">
      <c r="A361" s="388"/>
      <c r="B361" s="389"/>
      <c r="C361" s="381"/>
      <c r="D361" s="360" t="s">
        <v>79</v>
      </c>
      <c r="E361" s="353">
        <v>373078.41</v>
      </c>
      <c r="F361" s="353">
        <v>351187.13</v>
      </c>
      <c r="G361" s="353">
        <v>355702.1</v>
      </c>
      <c r="H361" s="353">
        <v>325993.52</v>
      </c>
      <c r="I361" s="353">
        <v>358616.51</v>
      </c>
      <c r="J361" s="288">
        <v>311607.55</v>
      </c>
      <c r="K361" s="288">
        <v>319459.99000000011</v>
      </c>
      <c r="L361" s="288">
        <v>320489.78000000009</v>
      </c>
      <c r="M361" s="288">
        <v>322937.99000000005</v>
      </c>
      <c r="N361" s="288">
        <v>304865.65000000002</v>
      </c>
      <c r="O361" s="288">
        <v>326473.46000000002</v>
      </c>
      <c r="P361" s="288">
        <v>311839.21999999997</v>
      </c>
      <c r="Q361" s="392"/>
      <c r="R361" s="288">
        <f t="shared" si="35"/>
        <v>3982251.3100000005</v>
      </c>
      <c r="S361" s="393"/>
      <c r="T361" s="393"/>
      <c r="U361"/>
    </row>
    <row r="362" spans="1:26" ht="18" customHeight="1">
      <c r="A362" s="388">
        <v>4</v>
      </c>
      <c r="B362" s="389" t="s">
        <v>429</v>
      </c>
      <c r="C362" s="378" t="s">
        <v>463</v>
      </c>
      <c r="D362" s="359" t="s">
        <v>421</v>
      </c>
      <c r="E362" s="284">
        <v>520</v>
      </c>
      <c r="F362" s="284">
        <v>520</v>
      </c>
      <c r="G362" s="284">
        <v>520</v>
      </c>
      <c r="H362" s="284">
        <v>579</v>
      </c>
      <c r="I362" s="284">
        <v>576</v>
      </c>
      <c r="J362" s="284">
        <v>640</v>
      </c>
      <c r="K362" s="284">
        <v>450</v>
      </c>
      <c r="L362" s="284">
        <v>550</v>
      </c>
      <c r="M362" s="284">
        <v>550</v>
      </c>
      <c r="N362" s="284">
        <v>520</v>
      </c>
      <c r="O362" s="284">
        <v>550</v>
      </c>
      <c r="P362" s="284">
        <v>450</v>
      </c>
      <c r="Q362" s="390">
        <f>(R362*10)*4.2</f>
        <v>269850</v>
      </c>
      <c r="R362" s="284">
        <f t="shared" si="35"/>
        <v>6425</v>
      </c>
      <c r="S362" s="391" t="s">
        <v>430</v>
      </c>
      <c r="T362" s="391" t="s">
        <v>316</v>
      </c>
      <c r="U362"/>
    </row>
    <row r="363" spans="1:26" ht="18" customHeight="1">
      <c r="A363" s="388"/>
      <c r="B363" s="389"/>
      <c r="C363" s="378"/>
      <c r="D363" s="359" t="s">
        <v>79</v>
      </c>
      <c r="E363" s="352">
        <v>377959.83</v>
      </c>
      <c r="F363" s="285">
        <v>279056.11</v>
      </c>
      <c r="G363" s="352">
        <v>317762.24</v>
      </c>
      <c r="H363" s="352">
        <v>377600.45</v>
      </c>
      <c r="I363" s="352">
        <v>383920.56</v>
      </c>
      <c r="J363" s="285">
        <v>657322.96</v>
      </c>
      <c r="K363" s="352">
        <v>367251.4800000001</v>
      </c>
      <c r="L363" s="352">
        <v>259541.24</v>
      </c>
      <c r="M363" s="352">
        <v>433806.82</v>
      </c>
      <c r="N363" s="352">
        <v>358966.3</v>
      </c>
      <c r="O363" s="352">
        <v>240217.89</v>
      </c>
      <c r="P363" s="352">
        <v>1314340.74</v>
      </c>
      <c r="Q363" s="390"/>
      <c r="R363" s="286">
        <f t="shared" si="35"/>
        <v>5367746.62</v>
      </c>
      <c r="S363" s="391"/>
      <c r="T363" s="391"/>
      <c r="U363"/>
    </row>
    <row r="364" spans="1:26" ht="18" customHeight="1">
      <c r="A364" s="388"/>
      <c r="B364" s="389"/>
      <c r="C364" s="381" t="s">
        <v>45</v>
      </c>
      <c r="D364" s="360" t="s">
        <v>421</v>
      </c>
      <c r="E364" s="287">
        <v>617</v>
      </c>
      <c r="F364" s="287">
        <v>448</v>
      </c>
      <c r="G364" s="287">
        <v>494</v>
      </c>
      <c r="H364" s="287">
        <v>580</v>
      </c>
      <c r="I364" s="287">
        <v>576</v>
      </c>
      <c r="J364" s="287">
        <v>841</v>
      </c>
      <c r="K364" s="287">
        <v>1250</v>
      </c>
      <c r="L364" s="287">
        <v>993</v>
      </c>
      <c r="M364" s="287">
        <v>428</v>
      </c>
      <c r="N364" s="287">
        <v>422</v>
      </c>
      <c r="O364" s="287">
        <v>536</v>
      </c>
      <c r="P364" s="287">
        <v>254</v>
      </c>
      <c r="Q364" s="392">
        <f>(R364*10)*4.2</f>
        <v>312438</v>
      </c>
      <c r="R364" s="287">
        <f t="shared" si="35"/>
        <v>7439</v>
      </c>
      <c r="S364" s="393">
        <f>R364/R362</f>
        <v>1.1578210116731518</v>
      </c>
      <c r="T364" s="393">
        <f>R365/R363</f>
        <v>0.7850259109287091</v>
      </c>
      <c r="U364"/>
    </row>
    <row r="365" spans="1:26" ht="18" customHeight="1">
      <c r="A365" s="388"/>
      <c r="B365" s="389"/>
      <c r="C365" s="381"/>
      <c r="D365" s="360" t="s">
        <v>79</v>
      </c>
      <c r="E365" s="353">
        <v>377959.83</v>
      </c>
      <c r="F365" s="288">
        <v>279056.11</v>
      </c>
      <c r="G365" s="353">
        <v>317762.24</v>
      </c>
      <c r="H365" s="353">
        <v>377600.45</v>
      </c>
      <c r="I365" s="353">
        <v>383920.56</v>
      </c>
      <c r="J365" s="288">
        <v>657322.96</v>
      </c>
      <c r="K365" s="288">
        <v>367251.4800000001</v>
      </c>
      <c r="L365" s="288">
        <v>259541.24</v>
      </c>
      <c r="M365" s="288">
        <v>433806.82</v>
      </c>
      <c r="N365" s="288">
        <v>358966.3</v>
      </c>
      <c r="O365" s="288">
        <v>240217.89</v>
      </c>
      <c r="P365" s="288">
        <v>160414.29999999999</v>
      </c>
      <c r="Q365" s="392"/>
      <c r="R365" s="288">
        <f t="shared" si="35"/>
        <v>4213820.18</v>
      </c>
      <c r="S365" s="393"/>
      <c r="T365" s="393"/>
      <c r="U365"/>
    </row>
    <row r="366" spans="1:26" ht="27" customHeight="1">
      <c r="A366" s="384" t="s">
        <v>368</v>
      </c>
      <c r="B366" s="384"/>
      <c r="C366" s="378" t="s">
        <v>463</v>
      </c>
      <c r="D366" s="361" t="s">
        <v>88</v>
      </c>
      <c r="E366" s="264">
        <f>E350+E354+E358+E362</f>
        <v>3841</v>
      </c>
      <c r="F366" s="264">
        <f t="shared" ref="F366:P369" si="36">F350+F354+F358+F362</f>
        <v>3673</v>
      </c>
      <c r="G366" s="264">
        <f t="shared" si="36"/>
        <v>3792</v>
      </c>
      <c r="H366" s="264">
        <f t="shared" si="36"/>
        <v>2987</v>
      </c>
      <c r="I366" s="264">
        <f t="shared" si="36"/>
        <v>3002</v>
      </c>
      <c r="J366" s="264">
        <f t="shared" si="36"/>
        <v>4296</v>
      </c>
      <c r="K366" s="264">
        <f t="shared" si="36"/>
        <v>3653</v>
      </c>
      <c r="L366" s="264">
        <f t="shared" si="36"/>
        <v>4262</v>
      </c>
      <c r="M366" s="264">
        <f t="shared" si="36"/>
        <v>4067</v>
      </c>
      <c r="N366" s="264">
        <f t="shared" si="36"/>
        <v>3334</v>
      </c>
      <c r="O366" s="264">
        <f t="shared" si="36"/>
        <v>3367</v>
      </c>
      <c r="P366" s="264">
        <f t="shared" si="36"/>
        <v>2963</v>
      </c>
      <c r="Q366" s="385">
        <f>Q350+Q354+Q358+Q362</f>
        <v>314793</v>
      </c>
      <c r="R366" s="275">
        <f t="shared" si="35"/>
        <v>43237</v>
      </c>
      <c r="S366" s="380" t="s">
        <v>89</v>
      </c>
      <c r="T366" s="380" t="s">
        <v>422</v>
      </c>
      <c r="U366"/>
    </row>
    <row r="367" spans="1:26" ht="27" customHeight="1">
      <c r="A367" s="384"/>
      <c r="B367" s="384"/>
      <c r="C367" s="378"/>
      <c r="D367" s="361" t="s">
        <v>79</v>
      </c>
      <c r="E367" s="115">
        <f>E351+E355+E359+E363</f>
        <v>1262987.28</v>
      </c>
      <c r="F367" s="115">
        <f t="shared" si="36"/>
        <v>1114093.6299999999</v>
      </c>
      <c r="G367" s="115">
        <f t="shared" si="36"/>
        <v>1138685.77</v>
      </c>
      <c r="H367" s="115">
        <f t="shared" si="36"/>
        <v>1154221.6499999999</v>
      </c>
      <c r="I367" s="115">
        <f t="shared" si="36"/>
        <v>1218277.1300000001</v>
      </c>
      <c r="J367" s="115">
        <f t="shared" si="36"/>
        <v>1325441.83</v>
      </c>
      <c r="K367" s="115">
        <f t="shared" si="36"/>
        <v>1043171.1500000003</v>
      </c>
      <c r="L367" s="115">
        <f t="shared" si="36"/>
        <v>923449.54</v>
      </c>
      <c r="M367" s="115">
        <f t="shared" si="36"/>
        <v>1117211.6300000001</v>
      </c>
      <c r="N367" s="115">
        <f t="shared" si="36"/>
        <v>1009308.27</v>
      </c>
      <c r="O367" s="115">
        <f t="shared" si="36"/>
        <v>947702.96000000008</v>
      </c>
      <c r="P367" s="115">
        <f>P351+P355+P359+P363</f>
        <v>5065113.88</v>
      </c>
      <c r="Q367" s="385"/>
      <c r="R367" s="115">
        <f t="shared" si="35"/>
        <v>17319664.720000003</v>
      </c>
      <c r="S367" s="380"/>
      <c r="T367" s="380"/>
      <c r="U367"/>
      <c r="Z367">
        <v>15636518.370000003</v>
      </c>
    </row>
    <row r="368" spans="1:26" ht="21.75" customHeight="1">
      <c r="A368" s="384"/>
      <c r="B368" s="384"/>
      <c r="C368" s="381" t="s">
        <v>45</v>
      </c>
      <c r="D368" s="362" t="s">
        <v>88</v>
      </c>
      <c r="E368" s="251">
        <f>E352+E356+E360+E364</f>
        <v>3485</v>
      </c>
      <c r="F368" s="251">
        <f t="shared" si="36"/>
        <v>3345</v>
      </c>
      <c r="G368" s="251">
        <f t="shared" si="36"/>
        <v>3165</v>
      </c>
      <c r="H368" s="251">
        <f t="shared" si="36"/>
        <v>2983</v>
      </c>
      <c r="I368" s="251">
        <f t="shared" si="36"/>
        <v>3004</v>
      </c>
      <c r="J368" s="251">
        <f t="shared" si="36"/>
        <v>4496</v>
      </c>
      <c r="K368" s="251">
        <f t="shared" si="36"/>
        <v>4150</v>
      </c>
      <c r="L368" s="251">
        <f t="shared" si="36"/>
        <v>3841</v>
      </c>
      <c r="M368" s="251">
        <f t="shared" si="36"/>
        <v>4078</v>
      </c>
      <c r="N368" s="251">
        <f t="shared" si="36"/>
        <v>3740</v>
      </c>
      <c r="O368" s="251">
        <f t="shared" si="36"/>
        <v>3304</v>
      </c>
      <c r="P368" s="251">
        <f t="shared" si="36"/>
        <v>2993</v>
      </c>
      <c r="Q368" s="386">
        <f>Q352+Q356+Q360+Q364</f>
        <v>546210.80000000005</v>
      </c>
      <c r="R368" s="253">
        <f t="shared" si="35"/>
        <v>42584</v>
      </c>
      <c r="S368" s="387">
        <f>R368/R366</f>
        <v>0.98489719453246061</v>
      </c>
      <c r="T368" s="387">
        <f>R369/R367</f>
        <v>0.74779549600888573</v>
      </c>
      <c r="U368"/>
      <c r="Y368" s="158"/>
    </row>
    <row r="369" spans="1:25" ht="21.75" customHeight="1">
      <c r="A369" s="384"/>
      <c r="B369" s="384"/>
      <c r="C369" s="381"/>
      <c r="D369" s="362" t="s">
        <v>79</v>
      </c>
      <c r="E369" s="276">
        <f>E353+E357+E361+E365</f>
        <v>1262987.28</v>
      </c>
      <c r="F369" s="276">
        <f t="shared" si="36"/>
        <v>1114093.6299999999</v>
      </c>
      <c r="G369" s="276">
        <f t="shared" si="36"/>
        <v>1138685.77</v>
      </c>
      <c r="H369" s="276">
        <f t="shared" si="36"/>
        <v>1154221.6499999999</v>
      </c>
      <c r="I369" s="276">
        <f t="shared" si="36"/>
        <v>1218277.1300000001</v>
      </c>
      <c r="J369" s="276">
        <f t="shared" si="36"/>
        <v>1325441.83</v>
      </c>
      <c r="K369" s="276">
        <f t="shared" si="36"/>
        <v>1043171.1500000003</v>
      </c>
      <c r="L369" s="276">
        <f t="shared" si="36"/>
        <v>923449.54</v>
      </c>
      <c r="M369" s="276">
        <f t="shared" si="36"/>
        <v>1117211.6300000001</v>
      </c>
      <c r="N369" s="276">
        <f t="shared" si="36"/>
        <v>1009308.27</v>
      </c>
      <c r="O369" s="276">
        <f t="shared" si="36"/>
        <v>947702.96000000008</v>
      </c>
      <c r="P369" s="276">
        <f t="shared" si="36"/>
        <v>697016.42999999993</v>
      </c>
      <c r="Q369" s="386"/>
      <c r="R369" s="277">
        <f t="shared" si="35"/>
        <v>12951567.270000001</v>
      </c>
      <c r="S369" s="387"/>
      <c r="T369" s="387"/>
      <c r="U369"/>
      <c r="Y369" s="158"/>
    </row>
    <row r="370" spans="1:25" ht="29.25" customHeight="1">
      <c r="A370" s="377" t="s">
        <v>439</v>
      </c>
      <c r="B370" s="377"/>
      <c r="C370" s="378" t="s">
        <v>31</v>
      </c>
      <c r="D370" s="361" t="s">
        <v>88</v>
      </c>
      <c r="E370" s="230">
        <f>SUM(E366+E335+E275+E215+E137+E59)</f>
        <v>19253590</v>
      </c>
      <c r="F370" s="230">
        <f>SUM(F366+F335+F275+F215+F137+F59)</f>
        <v>16251779</v>
      </c>
      <c r="G370" s="230">
        <f t="shared" ref="G370:P370" si="37">SUM(G366+G335+G275+G215+G137+G59)</f>
        <v>19253370</v>
      </c>
      <c r="H370" s="230">
        <f t="shared" si="37"/>
        <v>17751555</v>
      </c>
      <c r="I370" s="230">
        <f t="shared" si="37"/>
        <v>19251917</v>
      </c>
      <c r="J370" s="230">
        <f t="shared" si="37"/>
        <v>18251904</v>
      </c>
      <c r="K370" s="230">
        <f>SUM(K366+K335+K275+K215+K137+K59)</f>
        <v>12232264</v>
      </c>
      <c r="L370" s="230">
        <f t="shared" si="37"/>
        <v>13232743</v>
      </c>
      <c r="M370" s="230">
        <f t="shared" si="37"/>
        <v>11232389</v>
      </c>
      <c r="N370" s="230">
        <f t="shared" si="37"/>
        <v>12231913</v>
      </c>
      <c r="O370" s="230">
        <f t="shared" si="37"/>
        <v>12232079</v>
      </c>
      <c r="P370" s="230">
        <f t="shared" si="37"/>
        <v>12231825</v>
      </c>
      <c r="Q370" s="379"/>
      <c r="R370" s="230">
        <f>SUM(E370:P370)</f>
        <v>183407328</v>
      </c>
      <c r="S370" s="380" t="s">
        <v>89</v>
      </c>
      <c r="T370" s="380" t="s">
        <v>422</v>
      </c>
    </row>
    <row r="371" spans="1:25" ht="29.25" customHeight="1">
      <c r="A371" s="377"/>
      <c r="B371" s="377"/>
      <c r="C371" s="378"/>
      <c r="D371" s="361" t="s">
        <v>79</v>
      </c>
      <c r="E371" s="232">
        <f>SUM(E60+E138+E216+E276+E336+E367)</f>
        <v>100161874.14000002</v>
      </c>
      <c r="F371" s="232">
        <f>F60+F138+F216+F276+F336+F367</f>
        <v>85883900.459999993</v>
      </c>
      <c r="G371" s="232">
        <f t="shared" ref="F371:P373" si="38">G60+G138+G216+G276+G336+G367</f>
        <v>78823904.11999999</v>
      </c>
      <c r="H371" s="232">
        <f t="shared" si="38"/>
        <v>56556662</v>
      </c>
      <c r="I371" s="232">
        <f t="shared" si="38"/>
        <v>60189887.420000002</v>
      </c>
      <c r="J371" s="232">
        <f t="shared" si="38"/>
        <v>63753530.629999988</v>
      </c>
      <c r="K371" s="232">
        <f t="shared" si="38"/>
        <v>60254997.989999995</v>
      </c>
      <c r="L371" s="232">
        <f t="shared" si="38"/>
        <v>61041587.479999982</v>
      </c>
      <c r="M371" s="232">
        <f t="shared" si="38"/>
        <v>61422733.820000008</v>
      </c>
      <c r="N371" s="232">
        <f t="shared" si="38"/>
        <v>61030134.580000006</v>
      </c>
      <c r="O371" s="232">
        <f t="shared" si="38"/>
        <v>63531404.729999997</v>
      </c>
      <c r="P371" s="232">
        <f t="shared" si="38"/>
        <v>185716452.28000003</v>
      </c>
      <c r="Q371" s="379"/>
      <c r="R371" s="232">
        <f>SUM(E371:P371)</f>
        <v>938367069.6500001</v>
      </c>
      <c r="S371" s="380"/>
      <c r="T371" s="380"/>
    </row>
    <row r="372" spans="1:25" ht="24" customHeight="1">
      <c r="A372" s="377"/>
      <c r="B372" s="377"/>
      <c r="C372" s="381" t="s">
        <v>45</v>
      </c>
      <c r="D372" s="362" t="s">
        <v>88</v>
      </c>
      <c r="E372" s="229">
        <f>E61+E139+E217+E277+E337+E368</f>
        <v>15954773.437109975</v>
      </c>
      <c r="F372" s="229">
        <f t="shared" si="38"/>
        <v>14499415.630158102</v>
      </c>
      <c r="G372" s="229">
        <f t="shared" si="38"/>
        <v>16106803.75090909</v>
      </c>
      <c r="H372" s="229">
        <f t="shared" si="38"/>
        <v>9801411.959999999</v>
      </c>
      <c r="I372" s="229">
        <f t="shared" si="38"/>
        <v>13533375.119999999</v>
      </c>
      <c r="J372" s="229">
        <f t="shared" si="38"/>
        <v>11778999.799999999</v>
      </c>
      <c r="K372" s="229">
        <f>K61+K139+K217+K277+K337+K368</f>
        <v>14184760.800000001</v>
      </c>
      <c r="L372" s="229">
        <f>SUM(L368+L337+L277+L217+L139+L61)</f>
        <v>13899990.221818183</v>
      </c>
      <c r="M372" s="229">
        <f t="shared" si="38"/>
        <v>14034906.120000001</v>
      </c>
      <c r="N372" s="229">
        <f t="shared" si="38"/>
        <v>14489535.66</v>
      </c>
      <c r="O372" s="229">
        <f t="shared" si="38"/>
        <v>13892767.24</v>
      </c>
      <c r="P372" s="229">
        <f t="shared" si="38"/>
        <v>14607884.468</v>
      </c>
      <c r="Q372" s="382"/>
      <c r="R372" s="242">
        <f t="shared" ref="R372" si="39">SUM(E372:P372)</f>
        <v>166784624.20799536</v>
      </c>
      <c r="S372" s="383">
        <f>R372/R370</f>
        <v>0.90936728661133626</v>
      </c>
      <c r="T372" s="383">
        <f>R373/R371</f>
        <v>0.91671860241307435</v>
      </c>
    </row>
    <row r="373" spans="1:25" ht="24" customHeight="1">
      <c r="A373" s="377"/>
      <c r="B373" s="377"/>
      <c r="C373" s="381"/>
      <c r="D373" s="362" t="s">
        <v>79</v>
      </c>
      <c r="E373" s="231">
        <f>E62+E140+E218+E278+E338+E369</f>
        <v>100161874.14000002</v>
      </c>
      <c r="F373" s="231">
        <f t="shared" si="38"/>
        <v>85883900.459999993</v>
      </c>
      <c r="G373" s="231">
        <f t="shared" si="38"/>
        <v>78823904.11999999</v>
      </c>
      <c r="H373" s="231">
        <f t="shared" si="38"/>
        <v>56556662</v>
      </c>
      <c r="I373" s="231">
        <f t="shared" si="38"/>
        <v>60189887.420000002</v>
      </c>
      <c r="J373" s="231">
        <f t="shared" si="38"/>
        <v>63753530.629999988</v>
      </c>
      <c r="K373" s="231">
        <f t="shared" si="38"/>
        <v>60254997.989999995</v>
      </c>
      <c r="L373" s="231">
        <f>L62+L140+L218+L278+L338+L369</f>
        <v>61041587.479999982</v>
      </c>
      <c r="M373" s="231">
        <f t="shared" si="38"/>
        <v>61422733.820000008</v>
      </c>
      <c r="N373" s="231">
        <f t="shared" si="38"/>
        <v>61030134.580000006</v>
      </c>
      <c r="O373" s="231">
        <f t="shared" si="38"/>
        <v>63531404.729999997</v>
      </c>
      <c r="P373" s="231">
        <f t="shared" si="38"/>
        <v>107567931.26999998</v>
      </c>
      <c r="Q373" s="382"/>
      <c r="R373" s="231">
        <f>SUM(E373:P373)</f>
        <v>860218548.6400001</v>
      </c>
      <c r="S373" s="383"/>
      <c r="T373" s="383"/>
    </row>
    <row r="374" spans="1:25" ht="24" customHeight="1">
      <c r="A374" s="371"/>
      <c r="B374" s="371"/>
      <c r="C374" s="372"/>
      <c r="D374" s="373"/>
      <c r="E374" s="374"/>
      <c r="F374" s="374"/>
      <c r="G374" s="374"/>
      <c r="H374" s="374"/>
      <c r="I374" s="374"/>
      <c r="J374" s="374"/>
      <c r="K374" s="374"/>
      <c r="L374" s="374"/>
      <c r="M374" s="374"/>
      <c r="N374" s="374"/>
      <c r="O374" s="374"/>
      <c r="P374" s="374"/>
      <c r="Q374" s="375"/>
      <c r="R374" s="374"/>
      <c r="S374" s="376"/>
      <c r="T374" s="376"/>
    </row>
    <row r="375" spans="1:25" ht="24" customHeight="1">
      <c r="A375" s="371"/>
      <c r="B375" s="371"/>
      <c r="C375" s="372"/>
      <c r="D375" s="373"/>
      <c r="E375" s="374"/>
      <c r="F375" s="374"/>
      <c r="G375" s="374"/>
      <c r="H375" s="374"/>
      <c r="I375" s="374"/>
      <c r="J375" s="374"/>
      <c r="K375" s="374"/>
      <c r="L375" s="374"/>
      <c r="M375" s="374"/>
      <c r="N375" s="374"/>
      <c r="O375" s="374"/>
      <c r="P375" s="374"/>
      <c r="Q375" s="375"/>
      <c r="R375" s="374"/>
      <c r="S375" s="376"/>
      <c r="T375" s="376"/>
    </row>
    <row r="376" spans="1:25" ht="24" customHeight="1">
      <c r="A376" s="371"/>
      <c r="B376" s="371"/>
      <c r="C376" s="372"/>
      <c r="D376" s="373"/>
      <c r="E376" s="374"/>
      <c r="F376" s="374"/>
      <c r="G376" s="374"/>
      <c r="H376" s="374"/>
      <c r="I376" s="374"/>
      <c r="J376" s="374"/>
      <c r="K376" s="374"/>
      <c r="L376" s="374"/>
      <c r="M376" s="374"/>
      <c r="N376" s="374"/>
      <c r="O376" s="374"/>
      <c r="P376" s="374"/>
      <c r="Q376" s="375"/>
      <c r="R376" s="374"/>
      <c r="S376" s="376"/>
      <c r="T376" s="376"/>
    </row>
    <row r="377" spans="1:25" ht="24" customHeight="1">
      <c r="A377" s="371"/>
      <c r="B377" s="371"/>
      <c r="C377" s="372"/>
      <c r="D377" s="373"/>
      <c r="E377" s="374"/>
      <c r="F377" s="374"/>
      <c r="G377" s="374"/>
      <c r="H377" s="374"/>
      <c r="I377" s="374"/>
      <c r="J377" s="374"/>
      <c r="K377" s="374"/>
      <c r="L377" s="374"/>
      <c r="M377" s="374"/>
      <c r="N377" s="374"/>
      <c r="O377" s="374"/>
      <c r="P377" s="374"/>
      <c r="Q377" s="375"/>
      <c r="R377" s="374"/>
      <c r="S377" s="376"/>
      <c r="T377" s="376"/>
    </row>
  </sheetData>
  <mergeCells count="986">
    <mergeCell ref="U277:U278"/>
    <mergeCell ref="Q231:Q234"/>
    <mergeCell ref="Q235:Q238"/>
    <mergeCell ref="Q239:Q242"/>
    <mergeCell ref="Q243:Q246"/>
    <mergeCell ref="Q247:Q250"/>
    <mergeCell ref="Q251:Q254"/>
    <mergeCell ref="Q255:Q258"/>
    <mergeCell ref="Q259:Q262"/>
    <mergeCell ref="A7:J7"/>
    <mergeCell ref="K7:T7"/>
    <mergeCell ref="A8:C8"/>
    <mergeCell ref="D8:T8"/>
    <mergeCell ref="A9:C9"/>
    <mergeCell ref="D9:T9"/>
    <mergeCell ref="A1:T1"/>
    <mergeCell ref="A2:T2"/>
    <mergeCell ref="A3:T3"/>
    <mergeCell ref="A4:T4"/>
    <mergeCell ref="A5:T5"/>
    <mergeCell ref="A6:J6"/>
    <mergeCell ref="K6:T6"/>
    <mergeCell ref="C13:C14"/>
    <mergeCell ref="D13:D14"/>
    <mergeCell ref="E13:E14"/>
    <mergeCell ref="F13:F14"/>
    <mergeCell ref="A10:T10"/>
    <mergeCell ref="A11:D11"/>
    <mergeCell ref="E11:H11"/>
    <mergeCell ref="I11:P11"/>
    <mergeCell ref="Q11:T11"/>
    <mergeCell ref="A12:D12"/>
    <mergeCell ref="E12:H12"/>
    <mergeCell ref="I12:P12"/>
    <mergeCell ref="Q12:T12"/>
    <mergeCell ref="S13:T13"/>
    <mergeCell ref="M13:M14"/>
    <mergeCell ref="N13:N14"/>
    <mergeCell ref="O13:O14"/>
    <mergeCell ref="P13:P14"/>
    <mergeCell ref="Q13:Q14"/>
    <mergeCell ref="R13:R14"/>
    <mergeCell ref="G13:G14"/>
    <mergeCell ref="H13:H14"/>
    <mergeCell ref="I13:I14"/>
    <mergeCell ref="J13:J14"/>
    <mergeCell ref="K13:K14"/>
    <mergeCell ref="L13:L14"/>
    <mergeCell ref="A13:A14"/>
    <mergeCell ref="B13:B14"/>
    <mergeCell ref="T17:T18"/>
    <mergeCell ref="A19:A22"/>
    <mergeCell ref="B19:B22"/>
    <mergeCell ref="C19:C20"/>
    <mergeCell ref="Q19:Q20"/>
    <mergeCell ref="S19:S20"/>
    <mergeCell ref="T19:T20"/>
    <mergeCell ref="C21:C22"/>
    <mergeCell ref="Q21:Q22"/>
    <mergeCell ref="S21:S22"/>
    <mergeCell ref="T21:T22"/>
    <mergeCell ref="A15:A18"/>
    <mergeCell ref="B15:B18"/>
    <mergeCell ref="C15:C16"/>
    <mergeCell ref="Q15:Q16"/>
    <mergeCell ref="S15:S16"/>
    <mergeCell ref="T15:T16"/>
    <mergeCell ref="C17:C18"/>
    <mergeCell ref="Q17:Q18"/>
    <mergeCell ref="S17:S18"/>
    <mergeCell ref="A23:A26"/>
    <mergeCell ref="B23:B26"/>
    <mergeCell ref="C23:C24"/>
    <mergeCell ref="Q23:Q24"/>
    <mergeCell ref="S23:S24"/>
    <mergeCell ref="T23:T24"/>
    <mergeCell ref="C25:C26"/>
    <mergeCell ref="Q25:Q26"/>
    <mergeCell ref="S25:S26"/>
    <mergeCell ref="T25:T26"/>
    <mergeCell ref="A27:A30"/>
    <mergeCell ref="B27:B30"/>
    <mergeCell ref="C27:C28"/>
    <mergeCell ref="Q27:Q28"/>
    <mergeCell ref="S27:S28"/>
    <mergeCell ref="T27:T28"/>
    <mergeCell ref="C29:C30"/>
    <mergeCell ref="Q29:Q30"/>
    <mergeCell ref="S29:S30"/>
    <mergeCell ref="T29:T30"/>
    <mergeCell ref="A31:A34"/>
    <mergeCell ref="B31:B34"/>
    <mergeCell ref="C31:C32"/>
    <mergeCell ref="Q31:Q32"/>
    <mergeCell ref="S31:S32"/>
    <mergeCell ref="T31:T32"/>
    <mergeCell ref="C33:C34"/>
    <mergeCell ref="Q33:Q34"/>
    <mergeCell ref="S33:S34"/>
    <mergeCell ref="T33:T34"/>
    <mergeCell ref="A35:A38"/>
    <mergeCell ref="B35:B38"/>
    <mergeCell ref="C35:C36"/>
    <mergeCell ref="Q35:Q36"/>
    <mergeCell ref="S35:S36"/>
    <mergeCell ref="T35:T36"/>
    <mergeCell ref="C37:C38"/>
    <mergeCell ref="Q37:Q38"/>
    <mergeCell ref="S37:S38"/>
    <mergeCell ref="T37:T38"/>
    <mergeCell ref="A39:A42"/>
    <mergeCell ref="B39:B42"/>
    <mergeCell ref="C39:C40"/>
    <mergeCell ref="Q39:Q40"/>
    <mergeCell ref="S39:S40"/>
    <mergeCell ref="T39:T40"/>
    <mergeCell ref="C41:C42"/>
    <mergeCell ref="Q41:Q42"/>
    <mergeCell ref="S41:S42"/>
    <mergeCell ref="T41:T42"/>
    <mergeCell ref="A43:A46"/>
    <mergeCell ref="B43:B46"/>
    <mergeCell ref="C43:C44"/>
    <mergeCell ref="Q43:Q44"/>
    <mergeCell ref="S43:S44"/>
    <mergeCell ref="T43:T44"/>
    <mergeCell ref="C45:C46"/>
    <mergeCell ref="Q45:Q46"/>
    <mergeCell ref="S45:S46"/>
    <mergeCell ref="T45:T46"/>
    <mergeCell ref="A47:A50"/>
    <mergeCell ref="B47:B50"/>
    <mergeCell ref="C47:C48"/>
    <mergeCell ref="Q47:Q48"/>
    <mergeCell ref="S47:S48"/>
    <mergeCell ref="T47:T48"/>
    <mergeCell ref="C49:C50"/>
    <mergeCell ref="Q49:Q50"/>
    <mergeCell ref="S49:S50"/>
    <mergeCell ref="T49:T50"/>
    <mergeCell ref="A51:A54"/>
    <mergeCell ref="B51:B54"/>
    <mergeCell ref="C51:C52"/>
    <mergeCell ref="Q51:Q52"/>
    <mergeCell ref="S51:S52"/>
    <mergeCell ref="T51:T52"/>
    <mergeCell ref="C53:C54"/>
    <mergeCell ref="Q53:Q54"/>
    <mergeCell ref="S53:S54"/>
    <mergeCell ref="T53:T54"/>
    <mergeCell ref="A55:A58"/>
    <mergeCell ref="B55:B58"/>
    <mergeCell ref="C55:C56"/>
    <mergeCell ref="Q55:Q56"/>
    <mergeCell ref="S55:S56"/>
    <mergeCell ref="T55:T56"/>
    <mergeCell ref="C57:C58"/>
    <mergeCell ref="Q57:Q58"/>
    <mergeCell ref="S57:S58"/>
    <mergeCell ref="T57:T58"/>
    <mergeCell ref="A59:B62"/>
    <mergeCell ref="C59:C60"/>
    <mergeCell ref="Q59:Q60"/>
    <mergeCell ref="S59:S60"/>
    <mergeCell ref="T59:T60"/>
    <mergeCell ref="C61:C62"/>
    <mergeCell ref="Q61:Q62"/>
    <mergeCell ref="S61:S62"/>
    <mergeCell ref="T61:T62"/>
    <mergeCell ref="A67:C67"/>
    <mergeCell ref="D67:T67"/>
    <mergeCell ref="A68:T68"/>
    <mergeCell ref="A69:D69"/>
    <mergeCell ref="E69:H69"/>
    <mergeCell ref="I69:P69"/>
    <mergeCell ref="Q69:T69"/>
    <mergeCell ref="A63:T63"/>
    <mergeCell ref="A64:J64"/>
    <mergeCell ref="K64:T64"/>
    <mergeCell ref="A65:J65"/>
    <mergeCell ref="K65:T65"/>
    <mergeCell ref="A66:C66"/>
    <mergeCell ref="D66:T66"/>
    <mergeCell ref="A70:D70"/>
    <mergeCell ref="E70:H70"/>
    <mergeCell ref="I70:P70"/>
    <mergeCell ref="Q70:T70"/>
    <mergeCell ref="A71:A72"/>
    <mergeCell ref="B71:B72"/>
    <mergeCell ref="C71:C72"/>
    <mergeCell ref="D71:D72"/>
    <mergeCell ref="E71:E72"/>
    <mergeCell ref="F71:F72"/>
    <mergeCell ref="S71:T71"/>
    <mergeCell ref="M71:M72"/>
    <mergeCell ref="N71:N72"/>
    <mergeCell ref="O71:O72"/>
    <mergeCell ref="P71:P72"/>
    <mergeCell ref="Q71:Q72"/>
    <mergeCell ref="R71:R72"/>
    <mergeCell ref="G71:G72"/>
    <mergeCell ref="H71:H72"/>
    <mergeCell ref="I71:I72"/>
    <mergeCell ref="J71:J72"/>
    <mergeCell ref="K71:K72"/>
    <mergeCell ref="L71:L72"/>
    <mergeCell ref="A73:A76"/>
    <mergeCell ref="B73:B76"/>
    <mergeCell ref="C73:C74"/>
    <mergeCell ref="Q73:Q74"/>
    <mergeCell ref="S73:S74"/>
    <mergeCell ref="T73:T74"/>
    <mergeCell ref="C75:C76"/>
    <mergeCell ref="S75:S76"/>
    <mergeCell ref="T75:T76"/>
    <mergeCell ref="A77:A80"/>
    <mergeCell ref="B77:B80"/>
    <mergeCell ref="C77:C78"/>
    <mergeCell ref="Q77:Q78"/>
    <mergeCell ref="S77:S78"/>
    <mergeCell ref="T77:T78"/>
    <mergeCell ref="C79:C80"/>
    <mergeCell ref="S79:S80"/>
    <mergeCell ref="T79:T80"/>
    <mergeCell ref="A81:A84"/>
    <mergeCell ref="B81:B84"/>
    <mergeCell ref="C81:C82"/>
    <mergeCell ref="Q81:Q82"/>
    <mergeCell ref="S81:S82"/>
    <mergeCell ref="T81:T82"/>
    <mergeCell ref="C83:C84"/>
    <mergeCell ref="S83:S84"/>
    <mergeCell ref="T83:T84"/>
    <mergeCell ref="A85:A88"/>
    <mergeCell ref="B85:B88"/>
    <mergeCell ref="C85:C86"/>
    <mergeCell ref="Q85:Q86"/>
    <mergeCell ref="S85:S86"/>
    <mergeCell ref="T85:T86"/>
    <mergeCell ref="C87:C88"/>
    <mergeCell ref="S87:S88"/>
    <mergeCell ref="T87:T88"/>
    <mergeCell ref="A89:A92"/>
    <mergeCell ref="B89:B92"/>
    <mergeCell ref="C89:C90"/>
    <mergeCell ref="Q89:Q90"/>
    <mergeCell ref="S89:S90"/>
    <mergeCell ref="T89:T90"/>
    <mergeCell ref="C91:C92"/>
    <mergeCell ref="S91:S92"/>
    <mergeCell ref="T91:T92"/>
    <mergeCell ref="A93:A96"/>
    <mergeCell ref="B93:B96"/>
    <mergeCell ref="C93:C94"/>
    <mergeCell ref="Q93:Q94"/>
    <mergeCell ref="S93:S94"/>
    <mergeCell ref="T93:T94"/>
    <mergeCell ref="C95:C96"/>
    <mergeCell ref="S95:S96"/>
    <mergeCell ref="T95:T96"/>
    <mergeCell ref="A97:A100"/>
    <mergeCell ref="B97:B100"/>
    <mergeCell ref="C97:C98"/>
    <mergeCell ref="Q97:Q98"/>
    <mergeCell ref="S97:S98"/>
    <mergeCell ref="T97:T98"/>
    <mergeCell ref="C99:C100"/>
    <mergeCell ref="S99:S100"/>
    <mergeCell ref="T99:T100"/>
    <mergeCell ref="A101:A104"/>
    <mergeCell ref="B101:B104"/>
    <mergeCell ref="C101:C102"/>
    <mergeCell ref="Q101:Q102"/>
    <mergeCell ref="S101:S102"/>
    <mergeCell ref="T101:T102"/>
    <mergeCell ref="C103:C104"/>
    <mergeCell ref="S103:S104"/>
    <mergeCell ref="T103:T104"/>
    <mergeCell ref="A105:A108"/>
    <mergeCell ref="B105:B108"/>
    <mergeCell ref="C105:C106"/>
    <mergeCell ref="Q105:Q106"/>
    <mergeCell ref="S105:S106"/>
    <mergeCell ref="T105:T106"/>
    <mergeCell ref="C107:C108"/>
    <mergeCell ref="S107:S108"/>
    <mergeCell ref="T107:T108"/>
    <mergeCell ref="A109:A112"/>
    <mergeCell ref="B109:B112"/>
    <mergeCell ref="C109:C110"/>
    <mergeCell ref="Q109:Q110"/>
    <mergeCell ref="S109:S110"/>
    <mergeCell ref="T109:T110"/>
    <mergeCell ref="C111:C112"/>
    <mergeCell ref="S111:S112"/>
    <mergeCell ref="T111:T112"/>
    <mergeCell ref="A113:A116"/>
    <mergeCell ref="B113:B116"/>
    <mergeCell ref="C113:C114"/>
    <mergeCell ref="Q113:Q114"/>
    <mergeCell ref="S113:S114"/>
    <mergeCell ref="T113:T114"/>
    <mergeCell ref="C115:C116"/>
    <mergeCell ref="S115:S116"/>
    <mergeCell ref="T115:T116"/>
    <mergeCell ref="A117:A120"/>
    <mergeCell ref="B117:B120"/>
    <mergeCell ref="C117:C118"/>
    <mergeCell ref="Q117:Q118"/>
    <mergeCell ref="S117:S118"/>
    <mergeCell ref="T117:T118"/>
    <mergeCell ref="C119:C120"/>
    <mergeCell ref="S119:S120"/>
    <mergeCell ref="T119:T120"/>
    <mergeCell ref="A121:A124"/>
    <mergeCell ref="B121:B124"/>
    <mergeCell ref="C121:C122"/>
    <mergeCell ref="Q121:Q122"/>
    <mergeCell ref="S121:S122"/>
    <mergeCell ref="T121:T122"/>
    <mergeCell ref="C123:C124"/>
    <mergeCell ref="S123:S124"/>
    <mergeCell ref="T123:T124"/>
    <mergeCell ref="A125:A128"/>
    <mergeCell ref="B125:B128"/>
    <mergeCell ref="C125:C126"/>
    <mergeCell ref="Q125:Q126"/>
    <mergeCell ref="S125:S126"/>
    <mergeCell ref="T125:T126"/>
    <mergeCell ref="C127:C128"/>
    <mergeCell ref="S127:S128"/>
    <mergeCell ref="T127:T128"/>
    <mergeCell ref="A129:A132"/>
    <mergeCell ref="B129:B132"/>
    <mergeCell ref="C129:C130"/>
    <mergeCell ref="Q129:Q130"/>
    <mergeCell ref="S129:S130"/>
    <mergeCell ref="T129:T130"/>
    <mergeCell ref="C131:C132"/>
    <mergeCell ref="S131:S132"/>
    <mergeCell ref="T131:T132"/>
    <mergeCell ref="A137:B140"/>
    <mergeCell ref="C137:C138"/>
    <mergeCell ref="Q137:Q138"/>
    <mergeCell ref="S137:S138"/>
    <mergeCell ref="T137:T138"/>
    <mergeCell ref="C139:C140"/>
    <mergeCell ref="S139:S140"/>
    <mergeCell ref="T139:T140"/>
    <mergeCell ref="A133:A136"/>
    <mergeCell ref="B133:B136"/>
    <mergeCell ref="C133:C134"/>
    <mergeCell ref="Q133:Q134"/>
    <mergeCell ref="S133:S134"/>
    <mergeCell ref="T133:T134"/>
    <mergeCell ref="C135:C136"/>
    <mergeCell ref="S135:S136"/>
    <mergeCell ref="T135:T136"/>
    <mergeCell ref="A145:C145"/>
    <mergeCell ref="D145:T145"/>
    <mergeCell ref="A146:T146"/>
    <mergeCell ref="A147:D147"/>
    <mergeCell ref="E147:H147"/>
    <mergeCell ref="I147:P147"/>
    <mergeCell ref="Q147:T147"/>
    <mergeCell ref="A141:T141"/>
    <mergeCell ref="A142:J142"/>
    <mergeCell ref="K142:T142"/>
    <mergeCell ref="A143:J143"/>
    <mergeCell ref="K143:T143"/>
    <mergeCell ref="A144:C144"/>
    <mergeCell ref="D144:T144"/>
    <mergeCell ref="A148:D148"/>
    <mergeCell ref="E148:H148"/>
    <mergeCell ref="I148:P148"/>
    <mergeCell ref="Q148:T148"/>
    <mergeCell ref="A149:A150"/>
    <mergeCell ref="B149:B150"/>
    <mergeCell ref="C149:C150"/>
    <mergeCell ref="D149:D150"/>
    <mergeCell ref="E149:E150"/>
    <mergeCell ref="F149:F150"/>
    <mergeCell ref="S149:T149"/>
    <mergeCell ref="M149:M150"/>
    <mergeCell ref="N149:N150"/>
    <mergeCell ref="O149:O150"/>
    <mergeCell ref="P149:P150"/>
    <mergeCell ref="Q149:Q150"/>
    <mergeCell ref="R149:R150"/>
    <mergeCell ref="G149:G150"/>
    <mergeCell ref="H149:H150"/>
    <mergeCell ref="I149:I150"/>
    <mergeCell ref="J149:J150"/>
    <mergeCell ref="K149:K150"/>
    <mergeCell ref="L149:L150"/>
    <mergeCell ref="A151:A154"/>
    <mergeCell ref="B151:B154"/>
    <mergeCell ref="C151:C152"/>
    <mergeCell ref="Q151:Q152"/>
    <mergeCell ref="S151:S152"/>
    <mergeCell ref="T151:T152"/>
    <mergeCell ref="C153:C154"/>
    <mergeCell ref="Q153:Q154"/>
    <mergeCell ref="S153:S154"/>
    <mergeCell ref="T153:T154"/>
    <mergeCell ref="A155:A158"/>
    <mergeCell ref="B155:B158"/>
    <mergeCell ref="C155:C156"/>
    <mergeCell ref="Q155:Q156"/>
    <mergeCell ref="S155:S156"/>
    <mergeCell ref="T155:T156"/>
    <mergeCell ref="C157:C158"/>
    <mergeCell ref="Q157:Q158"/>
    <mergeCell ref="S157:S158"/>
    <mergeCell ref="T157:T158"/>
    <mergeCell ref="A159:A162"/>
    <mergeCell ref="B159:B162"/>
    <mergeCell ref="C159:C160"/>
    <mergeCell ref="Q159:Q160"/>
    <mergeCell ref="S159:S160"/>
    <mergeCell ref="T159:T160"/>
    <mergeCell ref="C161:C162"/>
    <mergeCell ref="Q161:Q162"/>
    <mergeCell ref="S161:S162"/>
    <mergeCell ref="T161:T162"/>
    <mergeCell ref="A163:A166"/>
    <mergeCell ref="B163:B166"/>
    <mergeCell ref="C163:C164"/>
    <mergeCell ref="Q163:Q164"/>
    <mergeCell ref="S163:S164"/>
    <mergeCell ref="T163:T164"/>
    <mergeCell ref="C165:C166"/>
    <mergeCell ref="Q165:Q166"/>
    <mergeCell ref="S165:S166"/>
    <mergeCell ref="T165:T166"/>
    <mergeCell ref="A167:A170"/>
    <mergeCell ref="B167:B170"/>
    <mergeCell ref="C167:C168"/>
    <mergeCell ref="Q167:Q168"/>
    <mergeCell ref="S167:S168"/>
    <mergeCell ref="T167:T168"/>
    <mergeCell ref="C169:C170"/>
    <mergeCell ref="Q169:Q170"/>
    <mergeCell ref="S169:S170"/>
    <mergeCell ref="T169:T170"/>
    <mergeCell ref="A171:A174"/>
    <mergeCell ref="B171:B174"/>
    <mergeCell ref="C171:C172"/>
    <mergeCell ref="Q171:Q172"/>
    <mergeCell ref="S171:S172"/>
    <mergeCell ref="T171:T172"/>
    <mergeCell ref="C173:C174"/>
    <mergeCell ref="Q173:Q174"/>
    <mergeCell ref="S173:S174"/>
    <mergeCell ref="T173:T174"/>
    <mergeCell ref="A175:A178"/>
    <mergeCell ref="B175:B178"/>
    <mergeCell ref="C175:C176"/>
    <mergeCell ref="Q175:Q176"/>
    <mergeCell ref="S175:S176"/>
    <mergeCell ref="T175:T176"/>
    <mergeCell ref="C177:C178"/>
    <mergeCell ref="Q177:Q178"/>
    <mergeCell ref="S177:S178"/>
    <mergeCell ref="T177:T178"/>
    <mergeCell ref="A179:A182"/>
    <mergeCell ref="B179:B182"/>
    <mergeCell ref="C179:C180"/>
    <mergeCell ref="Q179:Q180"/>
    <mergeCell ref="S179:S180"/>
    <mergeCell ref="T179:T180"/>
    <mergeCell ref="C181:C182"/>
    <mergeCell ref="Q181:Q182"/>
    <mergeCell ref="S181:S182"/>
    <mergeCell ref="T181:T182"/>
    <mergeCell ref="A183:A186"/>
    <mergeCell ref="B183:B186"/>
    <mergeCell ref="C183:C184"/>
    <mergeCell ref="Q183:Q184"/>
    <mergeCell ref="S183:S184"/>
    <mergeCell ref="T183:T184"/>
    <mergeCell ref="C185:C186"/>
    <mergeCell ref="Q185:Q186"/>
    <mergeCell ref="S185:S186"/>
    <mergeCell ref="T185:T186"/>
    <mergeCell ref="A187:A190"/>
    <mergeCell ref="B187:B190"/>
    <mergeCell ref="C187:C188"/>
    <mergeCell ref="Q187:Q188"/>
    <mergeCell ref="S187:S188"/>
    <mergeCell ref="T187:T188"/>
    <mergeCell ref="C189:C190"/>
    <mergeCell ref="Q189:Q190"/>
    <mergeCell ref="S189:S190"/>
    <mergeCell ref="T189:T190"/>
    <mergeCell ref="A191:A194"/>
    <mergeCell ref="B191:B194"/>
    <mergeCell ref="C191:C192"/>
    <mergeCell ref="Q191:Q192"/>
    <mergeCell ref="S191:S192"/>
    <mergeCell ref="T191:T192"/>
    <mergeCell ref="C193:C194"/>
    <mergeCell ref="Q193:Q194"/>
    <mergeCell ref="S193:S194"/>
    <mergeCell ref="T193:T194"/>
    <mergeCell ref="A195:A198"/>
    <mergeCell ref="B195:B198"/>
    <mergeCell ref="C195:C196"/>
    <mergeCell ref="Q195:Q196"/>
    <mergeCell ref="S195:S196"/>
    <mergeCell ref="T195:T196"/>
    <mergeCell ref="C197:C198"/>
    <mergeCell ref="Q197:Q198"/>
    <mergeCell ref="S197:S198"/>
    <mergeCell ref="T197:T198"/>
    <mergeCell ref="A199:A202"/>
    <mergeCell ref="B199:B202"/>
    <mergeCell ref="C199:C200"/>
    <mergeCell ref="Q199:Q200"/>
    <mergeCell ref="S199:S200"/>
    <mergeCell ref="T199:T200"/>
    <mergeCell ref="C201:C202"/>
    <mergeCell ref="Q201:Q202"/>
    <mergeCell ref="S201:S202"/>
    <mergeCell ref="T201:T202"/>
    <mergeCell ref="A203:A206"/>
    <mergeCell ref="B203:B206"/>
    <mergeCell ref="C203:C204"/>
    <mergeCell ref="Q203:Q204"/>
    <mergeCell ref="S203:S204"/>
    <mergeCell ref="T203:T204"/>
    <mergeCell ref="C205:C206"/>
    <mergeCell ref="Q205:Q206"/>
    <mergeCell ref="S205:S206"/>
    <mergeCell ref="T205:T206"/>
    <mergeCell ref="A207:A210"/>
    <mergeCell ref="B207:B210"/>
    <mergeCell ref="C207:C208"/>
    <mergeCell ref="Q207:Q208"/>
    <mergeCell ref="S207:S208"/>
    <mergeCell ref="T207:T208"/>
    <mergeCell ref="C209:C210"/>
    <mergeCell ref="Q209:Q210"/>
    <mergeCell ref="S209:S210"/>
    <mergeCell ref="T209:T210"/>
    <mergeCell ref="A211:A214"/>
    <mergeCell ref="B211:B214"/>
    <mergeCell ref="C211:C212"/>
    <mergeCell ref="Q211:Q212"/>
    <mergeCell ref="S211:S212"/>
    <mergeCell ref="T211:T212"/>
    <mergeCell ref="C213:C214"/>
    <mergeCell ref="Q213:Q214"/>
    <mergeCell ref="S213:S214"/>
    <mergeCell ref="T213:T214"/>
    <mergeCell ref="A215:B218"/>
    <mergeCell ref="C215:C216"/>
    <mergeCell ref="Q215:Q216"/>
    <mergeCell ref="S215:S216"/>
    <mergeCell ref="T215:T216"/>
    <mergeCell ref="C217:C218"/>
    <mergeCell ref="S217:S218"/>
    <mergeCell ref="T217:T218"/>
    <mergeCell ref="K223:T223"/>
    <mergeCell ref="A223:J223"/>
    <mergeCell ref="A224:P224"/>
    <mergeCell ref="A225:T225"/>
    <mergeCell ref="A226:D226"/>
    <mergeCell ref="E226:H226"/>
    <mergeCell ref="I226:P226"/>
    <mergeCell ref="Q226:T226"/>
    <mergeCell ref="A219:T219"/>
    <mergeCell ref="A220:J220"/>
    <mergeCell ref="K220:T220"/>
    <mergeCell ref="A221:J221"/>
    <mergeCell ref="K221:T221"/>
    <mergeCell ref="A222:J222"/>
    <mergeCell ref="K222:T222"/>
    <mergeCell ref="A227:D227"/>
    <mergeCell ref="E227:H227"/>
    <mergeCell ref="I227:P227"/>
    <mergeCell ref="Q227:T227"/>
    <mergeCell ref="A229:A230"/>
    <mergeCell ref="B229:B230"/>
    <mergeCell ref="C229:C230"/>
    <mergeCell ref="D229:D230"/>
    <mergeCell ref="E229:E230"/>
    <mergeCell ref="F229:F230"/>
    <mergeCell ref="S229:T229"/>
    <mergeCell ref="M229:M230"/>
    <mergeCell ref="N229:N230"/>
    <mergeCell ref="O229:O230"/>
    <mergeCell ref="P229:P230"/>
    <mergeCell ref="Q229:Q230"/>
    <mergeCell ref="R229:R230"/>
    <mergeCell ref="G229:G230"/>
    <mergeCell ref="H229:H230"/>
    <mergeCell ref="I229:I230"/>
    <mergeCell ref="J229:J230"/>
    <mergeCell ref="K229:K230"/>
    <mergeCell ref="L229:L230"/>
    <mergeCell ref="V231:V232"/>
    <mergeCell ref="C233:C234"/>
    <mergeCell ref="S233:S234"/>
    <mergeCell ref="T233:T234"/>
    <mergeCell ref="A235:A238"/>
    <mergeCell ref="B235:B238"/>
    <mergeCell ref="C235:C236"/>
    <mergeCell ref="S235:S236"/>
    <mergeCell ref="T235:T236"/>
    <mergeCell ref="V235:V236"/>
    <mergeCell ref="C237:C238"/>
    <mergeCell ref="S237:S238"/>
    <mergeCell ref="T237:T238"/>
    <mergeCell ref="A231:A234"/>
    <mergeCell ref="B231:B234"/>
    <mergeCell ref="C231:C232"/>
    <mergeCell ref="S231:S232"/>
    <mergeCell ref="T231:T232"/>
    <mergeCell ref="U231:U232"/>
    <mergeCell ref="U233:U234"/>
    <mergeCell ref="U235:U236"/>
    <mergeCell ref="U237:U238"/>
    <mergeCell ref="A239:A242"/>
    <mergeCell ref="B239:B242"/>
    <mergeCell ref="C239:C240"/>
    <mergeCell ref="S239:S240"/>
    <mergeCell ref="T239:T240"/>
    <mergeCell ref="V239:V240"/>
    <mergeCell ref="C241:C242"/>
    <mergeCell ref="S241:S242"/>
    <mergeCell ref="T241:T242"/>
    <mergeCell ref="U239:U240"/>
    <mergeCell ref="U241:U242"/>
    <mergeCell ref="A243:A246"/>
    <mergeCell ref="B243:B246"/>
    <mergeCell ref="C243:C244"/>
    <mergeCell ref="S243:S244"/>
    <mergeCell ref="T243:T244"/>
    <mergeCell ref="V243:V244"/>
    <mergeCell ref="C245:C246"/>
    <mergeCell ref="S245:S246"/>
    <mergeCell ref="T245:T246"/>
    <mergeCell ref="U243:U244"/>
    <mergeCell ref="U245:U246"/>
    <mergeCell ref="A247:A250"/>
    <mergeCell ref="B247:B250"/>
    <mergeCell ref="C247:C248"/>
    <mergeCell ref="S247:S248"/>
    <mergeCell ref="T247:T248"/>
    <mergeCell ref="V247:V248"/>
    <mergeCell ref="C249:C250"/>
    <mergeCell ref="S249:S250"/>
    <mergeCell ref="T249:T250"/>
    <mergeCell ref="U247:U248"/>
    <mergeCell ref="U249:U250"/>
    <mergeCell ref="A251:A254"/>
    <mergeCell ref="B251:B254"/>
    <mergeCell ref="C251:C252"/>
    <mergeCell ref="S251:S252"/>
    <mergeCell ref="T251:T252"/>
    <mergeCell ref="V251:V252"/>
    <mergeCell ref="C253:C254"/>
    <mergeCell ref="S253:S254"/>
    <mergeCell ref="T253:T254"/>
    <mergeCell ref="U251:U252"/>
    <mergeCell ref="U253:U254"/>
    <mergeCell ref="A255:A258"/>
    <mergeCell ref="B255:B258"/>
    <mergeCell ref="C255:C256"/>
    <mergeCell ref="S255:S256"/>
    <mergeCell ref="T255:T256"/>
    <mergeCell ref="V255:V256"/>
    <mergeCell ref="C257:C258"/>
    <mergeCell ref="S257:S258"/>
    <mergeCell ref="T257:T258"/>
    <mergeCell ref="U255:U256"/>
    <mergeCell ref="U257:U258"/>
    <mergeCell ref="A259:A262"/>
    <mergeCell ref="B259:B262"/>
    <mergeCell ref="C259:C260"/>
    <mergeCell ref="S259:S260"/>
    <mergeCell ref="T259:T260"/>
    <mergeCell ref="V259:V260"/>
    <mergeCell ref="C261:C262"/>
    <mergeCell ref="S261:S262"/>
    <mergeCell ref="T261:T262"/>
    <mergeCell ref="U259:U260"/>
    <mergeCell ref="U261:U262"/>
    <mergeCell ref="A263:A266"/>
    <mergeCell ref="B263:B266"/>
    <mergeCell ref="C263:C264"/>
    <mergeCell ref="S263:S264"/>
    <mergeCell ref="T263:T264"/>
    <mergeCell ref="V263:V264"/>
    <mergeCell ref="C265:C266"/>
    <mergeCell ref="S265:S266"/>
    <mergeCell ref="T265:T266"/>
    <mergeCell ref="Q263:Q266"/>
    <mergeCell ref="U263:U264"/>
    <mergeCell ref="U265:U266"/>
    <mergeCell ref="A267:A270"/>
    <mergeCell ref="B267:B270"/>
    <mergeCell ref="C267:C268"/>
    <mergeCell ref="S267:S268"/>
    <mergeCell ref="T267:T268"/>
    <mergeCell ref="V267:V268"/>
    <mergeCell ref="C269:C270"/>
    <mergeCell ref="S269:S270"/>
    <mergeCell ref="T269:T270"/>
    <mergeCell ref="Q267:Q270"/>
    <mergeCell ref="U267:U268"/>
    <mergeCell ref="U269:U270"/>
    <mergeCell ref="A279:T279"/>
    <mergeCell ref="A280:J280"/>
    <mergeCell ref="K280:T280"/>
    <mergeCell ref="V271:V272"/>
    <mergeCell ref="C273:C274"/>
    <mergeCell ref="S273:S274"/>
    <mergeCell ref="T273:T274"/>
    <mergeCell ref="A275:B278"/>
    <mergeCell ref="C275:C276"/>
    <mergeCell ref="S275:S276"/>
    <mergeCell ref="T275:T276"/>
    <mergeCell ref="C277:C278"/>
    <mergeCell ref="A271:A274"/>
    <mergeCell ref="B271:B274"/>
    <mergeCell ref="C271:C272"/>
    <mergeCell ref="S271:S272"/>
    <mergeCell ref="T271:T272"/>
    <mergeCell ref="S277:S278"/>
    <mergeCell ref="T277:T278"/>
    <mergeCell ref="Q271:Q274"/>
    <mergeCell ref="Q275:Q278"/>
    <mergeCell ref="U271:U272"/>
    <mergeCell ref="U273:U274"/>
    <mergeCell ref="U275:U276"/>
    <mergeCell ref="A284:P284"/>
    <mergeCell ref="A285:T285"/>
    <mergeCell ref="A286:D286"/>
    <mergeCell ref="E286:H286"/>
    <mergeCell ref="I286:P286"/>
    <mergeCell ref="Q286:T286"/>
    <mergeCell ref="A281:J281"/>
    <mergeCell ref="K281:T281"/>
    <mergeCell ref="A282:J282"/>
    <mergeCell ref="K282:T282"/>
    <mergeCell ref="K283:T283"/>
    <mergeCell ref="A283:J283"/>
    <mergeCell ref="A287:D287"/>
    <mergeCell ref="E287:H287"/>
    <mergeCell ref="I287:P287"/>
    <mergeCell ref="Q287:T287"/>
    <mergeCell ref="A289:A290"/>
    <mergeCell ref="B289:B290"/>
    <mergeCell ref="C289:C290"/>
    <mergeCell ref="D289:D290"/>
    <mergeCell ref="E289:E290"/>
    <mergeCell ref="F289:F290"/>
    <mergeCell ref="S289:T289"/>
    <mergeCell ref="M289:M290"/>
    <mergeCell ref="N289:N290"/>
    <mergeCell ref="O289:O290"/>
    <mergeCell ref="P289:P290"/>
    <mergeCell ref="Q289:Q290"/>
    <mergeCell ref="R289:R290"/>
    <mergeCell ref="G289:G290"/>
    <mergeCell ref="H289:H290"/>
    <mergeCell ref="I289:I290"/>
    <mergeCell ref="J289:J290"/>
    <mergeCell ref="K289:K290"/>
    <mergeCell ref="L289:L290"/>
    <mergeCell ref="A291:A294"/>
    <mergeCell ref="B291:B294"/>
    <mergeCell ref="C291:C292"/>
    <mergeCell ref="Q291:Q292"/>
    <mergeCell ref="S291:S292"/>
    <mergeCell ref="T291:T292"/>
    <mergeCell ref="C293:C294"/>
    <mergeCell ref="Q293:Q294"/>
    <mergeCell ref="S293:S294"/>
    <mergeCell ref="T293:T294"/>
    <mergeCell ref="A295:A298"/>
    <mergeCell ref="B295:B298"/>
    <mergeCell ref="C295:C296"/>
    <mergeCell ref="Q295:Q296"/>
    <mergeCell ref="S295:S296"/>
    <mergeCell ref="T295:T296"/>
    <mergeCell ref="C297:C298"/>
    <mergeCell ref="Q297:Q298"/>
    <mergeCell ref="S297:S298"/>
    <mergeCell ref="T297:T298"/>
    <mergeCell ref="A299:A302"/>
    <mergeCell ref="B299:B302"/>
    <mergeCell ref="C299:C300"/>
    <mergeCell ref="Q299:Q300"/>
    <mergeCell ref="S299:S300"/>
    <mergeCell ref="T299:T300"/>
    <mergeCell ref="C301:C302"/>
    <mergeCell ref="Q301:Q302"/>
    <mergeCell ref="S301:S302"/>
    <mergeCell ref="T301:T302"/>
    <mergeCell ref="A303:A306"/>
    <mergeCell ref="B303:B306"/>
    <mergeCell ref="C303:C304"/>
    <mergeCell ref="Q303:Q304"/>
    <mergeCell ref="S303:S304"/>
    <mergeCell ref="T303:T304"/>
    <mergeCell ref="C305:C306"/>
    <mergeCell ref="Q305:Q306"/>
    <mergeCell ref="S305:S306"/>
    <mergeCell ref="T305:T306"/>
    <mergeCell ref="A307:A310"/>
    <mergeCell ref="B307:B310"/>
    <mergeCell ref="C307:C308"/>
    <mergeCell ref="Q307:Q308"/>
    <mergeCell ref="S307:S308"/>
    <mergeCell ref="T307:T308"/>
    <mergeCell ref="C309:C310"/>
    <mergeCell ref="Q309:Q310"/>
    <mergeCell ref="S309:S310"/>
    <mergeCell ref="T309:T310"/>
    <mergeCell ref="A311:A314"/>
    <mergeCell ref="B311:B314"/>
    <mergeCell ref="C311:C312"/>
    <mergeCell ref="Q311:Q312"/>
    <mergeCell ref="S311:S312"/>
    <mergeCell ref="T311:T312"/>
    <mergeCell ref="C313:C314"/>
    <mergeCell ref="Q313:Q314"/>
    <mergeCell ref="S313:S314"/>
    <mergeCell ref="T313:T314"/>
    <mergeCell ref="A315:A318"/>
    <mergeCell ref="B315:B318"/>
    <mergeCell ref="C315:C316"/>
    <mergeCell ref="Q315:Q316"/>
    <mergeCell ref="S315:S316"/>
    <mergeCell ref="T315:T316"/>
    <mergeCell ref="C317:C318"/>
    <mergeCell ref="Q317:Q318"/>
    <mergeCell ref="S317:S318"/>
    <mergeCell ref="T317:T318"/>
    <mergeCell ref="A319:A322"/>
    <mergeCell ref="B319:B322"/>
    <mergeCell ref="C319:C320"/>
    <mergeCell ref="Q319:Q320"/>
    <mergeCell ref="S319:S320"/>
    <mergeCell ref="T319:T320"/>
    <mergeCell ref="C321:C322"/>
    <mergeCell ref="Q321:Q322"/>
    <mergeCell ref="S321:S322"/>
    <mergeCell ref="T321:T322"/>
    <mergeCell ref="A323:A326"/>
    <mergeCell ref="B323:B326"/>
    <mergeCell ref="C323:C324"/>
    <mergeCell ref="Q323:Q324"/>
    <mergeCell ref="S323:S324"/>
    <mergeCell ref="T323:T324"/>
    <mergeCell ref="C325:C326"/>
    <mergeCell ref="Q325:Q326"/>
    <mergeCell ref="S325:S326"/>
    <mergeCell ref="T325:T326"/>
    <mergeCell ref="A327:A330"/>
    <mergeCell ref="B327:B330"/>
    <mergeCell ref="C327:C328"/>
    <mergeCell ref="Q327:Q328"/>
    <mergeCell ref="S327:S328"/>
    <mergeCell ref="T327:T328"/>
    <mergeCell ref="C329:C330"/>
    <mergeCell ref="Q329:Q330"/>
    <mergeCell ref="S329:S330"/>
    <mergeCell ref="T329:T330"/>
    <mergeCell ref="A331:A334"/>
    <mergeCell ref="B331:B334"/>
    <mergeCell ref="C331:C332"/>
    <mergeCell ref="Q331:Q332"/>
    <mergeCell ref="S331:S332"/>
    <mergeCell ref="T331:T332"/>
    <mergeCell ref="C333:C334"/>
    <mergeCell ref="Q333:Q334"/>
    <mergeCell ref="S333:S334"/>
    <mergeCell ref="T333:T334"/>
    <mergeCell ref="A335:B338"/>
    <mergeCell ref="C335:C336"/>
    <mergeCell ref="Q335:Q336"/>
    <mergeCell ref="S335:S336"/>
    <mergeCell ref="T335:T336"/>
    <mergeCell ref="C337:C338"/>
    <mergeCell ref="Q337:Q338"/>
    <mergeCell ref="S337:S338"/>
    <mergeCell ref="T337:T338"/>
    <mergeCell ref="A344:T344"/>
    <mergeCell ref="A345:D345"/>
    <mergeCell ref="E345:H345"/>
    <mergeCell ref="I345:P345"/>
    <mergeCell ref="Q345:T345"/>
    <mergeCell ref="A339:T339"/>
    <mergeCell ref="A340:J340"/>
    <mergeCell ref="K340:T340"/>
    <mergeCell ref="A341:J341"/>
    <mergeCell ref="K341:T341"/>
    <mergeCell ref="A342:J342"/>
    <mergeCell ref="K342:T342"/>
    <mergeCell ref="K343:T343"/>
    <mergeCell ref="A343:J343"/>
    <mergeCell ref="A346:D346"/>
    <mergeCell ref="E346:H346"/>
    <mergeCell ref="I346:P346"/>
    <mergeCell ref="Q346:T346"/>
    <mergeCell ref="A348:A349"/>
    <mergeCell ref="B348:B349"/>
    <mergeCell ref="C348:C349"/>
    <mergeCell ref="D348:D349"/>
    <mergeCell ref="E348:E349"/>
    <mergeCell ref="F348:F349"/>
    <mergeCell ref="S348:T348"/>
    <mergeCell ref="M348:M349"/>
    <mergeCell ref="N348:N349"/>
    <mergeCell ref="O348:O349"/>
    <mergeCell ref="P348:P349"/>
    <mergeCell ref="Q348:Q349"/>
    <mergeCell ref="R348:R349"/>
    <mergeCell ref="G348:G349"/>
    <mergeCell ref="H348:H349"/>
    <mergeCell ref="I348:I349"/>
    <mergeCell ref="J348:J349"/>
    <mergeCell ref="K348:K349"/>
    <mergeCell ref="L348:L349"/>
    <mergeCell ref="A350:A353"/>
    <mergeCell ref="B350:B353"/>
    <mergeCell ref="C350:C351"/>
    <mergeCell ref="Q350:Q351"/>
    <mergeCell ref="S350:S351"/>
    <mergeCell ref="T350:T351"/>
    <mergeCell ref="C352:C353"/>
    <mergeCell ref="Q352:Q353"/>
    <mergeCell ref="S352:S353"/>
    <mergeCell ref="T352:T353"/>
    <mergeCell ref="A354:A357"/>
    <mergeCell ref="B354:B357"/>
    <mergeCell ref="C354:C355"/>
    <mergeCell ref="Q354:Q355"/>
    <mergeCell ref="S354:S355"/>
    <mergeCell ref="T354:T355"/>
    <mergeCell ref="C356:C357"/>
    <mergeCell ref="Q356:Q357"/>
    <mergeCell ref="S356:S357"/>
    <mergeCell ref="T356:T357"/>
    <mergeCell ref="A358:A361"/>
    <mergeCell ref="B358:B361"/>
    <mergeCell ref="C358:C359"/>
    <mergeCell ref="Q358:Q359"/>
    <mergeCell ref="S358:S359"/>
    <mergeCell ref="T358:T359"/>
    <mergeCell ref="C360:C361"/>
    <mergeCell ref="Q360:Q361"/>
    <mergeCell ref="S360:S361"/>
    <mergeCell ref="T360:T361"/>
    <mergeCell ref="A362:A365"/>
    <mergeCell ref="B362:B365"/>
    <mergeCell ref="C362:C363"/>
    <mergeCell ref="Q362:Q363"/>
    <mergeCell ref="S362:S363"/>
    <mergeCell ref="T362:T363"/>
    <mergeCell ref="C364:C365"/>
    <mergeCell ref="Q364:Q365"/>
    <mergeCell ref="S364:S365"/>
    <mergeCell ref="T364:T365"/>
    <mergeCell ref="A366:B369"/>
    <mergeCell ref="C366:C367"/>
    <mergeCell ref="Q366:Q367"/>
    <mergeCell ref="S366:S367"/>
    <mergeCell ref="T366:T367"/>
    <mergeCell ref="C368:C369"/>
    <mergeCell ref="Q368:Q369"/>
    <mergeCell ref="S368:S369"/>
    <mergeCell ref="T368:T369"/>
    <mergeCell ref="A370:B373"/>
    <mergeCell ref="C370:C371"/>
    <mergeCell ref="Q370:Q371"/>
    <mergeCell ref="S370:S371"/>
    <mergeCell ref="T370:T371"/>
    <mergeCell ref="C372:C373"/>
    <mergeCell ref="Q372:Q373"/>
    <mergeCell ref="S372:S373"/>
    <mergeCell ref="T372:T373"/>
  </mergeCells>
  <printOptions horizontalCentered="1"/>
  <pageMargins left="0.11811023622047245" right="0.11811023622047245" top="0.35433070866141736" bottom="0.35433070866141736" header="0.31496062992125984" footer="0.31496062992125984"/>
  <pageSetup scale="47" fitToHeight="0" orientation="landscape" r:id="rId1"/>
  <rowBreaks count="11" manualBreakCount="11">
    <brk id="30" max="19" man="1"/>
    <brk id="62" max="19" man="1"/>
    <brk id="92" max="19" man="1"/>
    <brk id="120" max="19" man="1"/>
    <brk id="140" max="19" man="1"/>
    <brk id="182" max="19" man="1"/>
    <brk id="218" max="19" man="1"/>
    <brk id="246" max="19" man="1"/>
    <brk id="278" max="19" man="1"/>
    <brk id="310" max="19" man="1"/>
    <brk id="338" max="19" man="1"/>
  </rowBreaks>
  <ignoredErrors>
    <ignoredError sqref="L371:L37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topLeftCell="A4" workbookViewId="0">
      <selection activeCell="J27" sqref="J27"/>
    </sheetView>
  </sheetViews>
  <sheetFormatPr baseColWidth="10" defaultRowHeight="15"/>
  <cols>
    <col min="1" max="1" width="5.140625" style="133" customWidth="1"/>
    <col min="2" max="2" width="9.28515625" customWidth="1"/>
    <col min="3" max="3" width="9.140625" customWidth="1"/>
    <col min="4" max="4" width="8.5703125" customWidth="1"/>
    <col min="5" max="5" width="14.28515625" bestFit="1" customWidth="1"/>
    <col min="6" max="14" width="14.140625" bestFit="1" customWidth="1"/>
  </cols>
  <sheetData>
    <row r="1" spans="1:30" s="28" customFormat="1" ht="15.75" thickBot="1">
      <c r="A1" s="124"/>
      <c r="B1" s="125"/>
      <c r="C1" s="125"/>
      <c r="D1" s="125"/>
      <c r="E1" s="126" t="s">
        <v>247</v>
      </c>
      <c r="F1" s="126" t="s">
        <v>248</v>
      </c>
      <c r="G1" s="126" t="s">
        <v>249</v>
      </c>
      <c r="H1" s="126" t="s">
        <v>247</v>
      </c>
      <c r="I1" s="126" t="s">
        <v>248</v>
      </c>
      <c r="J1" s="126" t="s">
        <v>249</v>
      </c>
      <c r="K1" s="126" t="s">
        <v>247</v>
      </c>
      <c r="L1" s="126" t="s">
        <v>248</v>
      </c>
      <c r="M1" s="127" t="s">
        <v>249</v>
      </c>
      <c r="N1" s="128" t="s">
        <v>247</v>
      </c>
      <c r="O1" s="129" t="s">
        <v>248</v>
      </c>
      <c r="P1" s="130" t="s">
        <v>249</v>
      </c>
    </row>
    <row r="2" spans="1:30" s="133" customFormat="1">
      <c r="A2" s="131"/>
      <c r="B2" s="132"/>
      <c r="C2" s="132"/>
      <c r="D2" s="132"/>
      <c r="E2" s="506" t="s">
        <v>250</v>
      </c>
      <c r="F2" s="507"/>
      <c r="G2" s="508"/>
      <c r="H2" s="506" t="s">
        <v>251</v>
      </c>
      <c r="I2" s="507"/>
      <c r="J2" s="508"/>
      <c r="K2" s="506" t="s">
        <v>252</v>
      </c>
      <c r="L2" s="507"/>
      <c r="M2" s="507"/>
      <c r="N2" s="509" t="s">
        <v>253</v>
      </c>
      <c r="O2" s="510"/>
      <c r="P2" s="511"/>
      <c r="Q2" s="133" t="s">
        <v>254</v>
      </c>
      <c r="T2" s="133" t="s">
        <v>255</v>
      </c>
      <c r="V2" s="133" t="s">
        <v>256</v>
      </c>
      <c r="X2" s="133" t="s">
        <v>257</v>
      </c>
      <c r="Y2" s="133" t="s">
        <v>258</v>
      </c>
      <c r="Z2" s="133" t="s">
        <v>259</v>
      </c>
      <c r="AA2" s="133" t="s">
        <v>260</v>
      </c>
      <c r="AB2" s="133" t="s">
        <v>261</v>
      </c>
      <c r="AC2" s="133" t="s">
        <v>262</v>
      </c>
      <c r="AD2" s="133" t="s">
        <v>104</v>
      </c>
    </row>
    <row r="3" spans="1:30">
      <c r="A3" s="134">
        <v>1</v>
      </c>
      <c r="B3" s="135" t="s">
        <v>2</v>
      </c>
      <c r="C3" s="135" t="s">
        <v>59</v>
      </c>
      <c r="D3" s="135" t="s">
        <v>263</v>
      </c>
      <c r="E3" s="136">
        <v>33705405.219999999</v>
      </c>
      <c r="F3" s="136">
        <v>37561336.050000004</v>
      </c>
      <c r="G3" s="152">
        <v>37561336.050000004</v>
      </c>
      <c r="H3" s="136">
        <v>16766718.049999997</v>
      </c>
      <c r="I3" s="136">
        <v>27574802.289999999</v>
      </c>
      <c r="J3" s="152">
        <v>27574802.289999999</v>
      </c>
      <c r="K3" s="136">
        <v>13617040.83</v>
      </c>
      <c r="L3" s="136">
        <v>13291757.619999997</v>
      </c>
      <c r="M3" s="153">
        <v>13291757.619999997</v>
      </c>
      <c r="N3" s="137"/>
      <c r="O3" s="138"/>
      <c r="P3" s="139"/>
    </row>
    <row r="4" spans="1:30">
      <c r="A4" s="134">
        <v>2</v>
      </c>
      <c r="B4" s="135">
        <v>2003</v>
      </c>
      <c r="C4" s="135" t="s">
        <v>51</v>
      </c>
      <c r="D4" s="135"/>
      <c r="E4" s="136">
        <v>820711.63000000012</v>
      </c>
      <c r="F4" s="136">
        <v>872703.66000000027</v>
      </c>
      <c r="G4" s="154">
        <v>872703.66000000027</v>
      </c>
      <c r="H4" s="136">
        <v>822611.63000000012</v>
      </c>
      <c r="I4" s="136">
        <v>817903.10000000009</v>
      </c>
      <c r="J4" s="154">
        <v>817903.10000000009</v>
      </c>
      <c r="K4" s="136">
        <v>804711.63000000012</v>
      </c>
      <c r="L4" s="136">
        <v>727095.28</v>
      </c>
      <c r="M4" s="155">
        <v>727095.28</v>
      </c>
      <c r="N4" s="137"/>
      <c r="O4" s="138"/>
      <c r="P4" s="139"/>
    </row>
    <row r="5" spans="1:30">
      <c r="A5" s="134">
        <v>3</v>
      </c>
      <c r="B5" s="135">
        <v>2004</v>
      </c>
      <c r="C5" s="135" t="s">
        <v>52</v>
      </c>
      <c r="D5" s="135" t="s">
        <v>264</v>
      </c>
      <c r="E5" s="136">
        <v>213536.07</v>
      </c>
      <c r="F5" s="136">
        <v>226484.91999999998</v>
      </c>
      <c r="G5" s="154">
        <v>226484.91999999998</v>
      </c>
      <c r="H5" s="136">
        <v>213536.07</v>
      </c>
      <c r="I5" s="136">
        <v>200593.44999999998</v>
      </c>
      <c r="J5" s="154">
        <v>200593.44999999998</v>
      </c>
      <c r="K5" s="136">
        <v>213536.07</v>
      </c>
      <c r="L5" s="136">
        <v>200799.25</v>
      </c>
      <c r="M5" s="155">
        <v>200799.25</v>
      </c>
      <c r="N5" s="137"/>
      <c r="O5" s="138"/>
      <c r="P5" s="139"/>
    </row>
    <row r="6" spans="1:30">
      <c r="A6" s="134">
        <v>4</v>
      </c>
      <c r="B6" s="135">
        <v>2004</v>
      </c>
      <c r="C6" s="135" t="s">
        <v>265</v>
      </c>
      <c r="D6" s="135" t="s">
        <v>266</v>
      </c>
      <c r="E6" s="136">
        <v>4716</v>
      </c>
      <c r="F6" s="136">
        <v>1911.81</v>
      </c>
      <c r="G6" s="154">
        <v>1911.81</v>
      </c>
      <c r="H6" s="136">
        <v>3916</v>
      </c>
      <c r="I6" s="136">
        <v>4109.2199999999993</v>
      </c>
      <c r="J6" s="154">
        <v>4109.2199999999993</v>
      </c>
      <c r="K6" s="136">
        <v>4716</v>
      </c>
      <c r="L6" s="136">
        <v>4454.0999999999995</v>
      </c>
      <c r="M6" s="155">
        <v>4454.0999999999995</v>
      </c>
      <c r="N6" s="137"/>
      <c r="O6" s="138"/>
      <c r="P6" s="139"/>
    </row>
    <row r="7" spans="1:30">
      <c r="A7" s="134">
        <v>5</v>
      </c>
      <c r="B7" s="135">
        <v>2005</v>
      </c>
      <c r="C7" s="135" t="s">
        <v>53</v>
      </c>
      <c r="D7" s="135" t="s">
        <v>264</v>
      </c>
      <c r="E7" s="136">
        <v>461444.32000000012</v>
      </c>
      <c r="F7" s="136">
        <v>502900.89999999997</v>
      </c>
      <c r="G7" s="154">
        <v>502900.89999999997</v>
      </c>
      <c r="H7" s="136">
        <v>461444.32000000012</v>
      </c>
      <c r="I7" s="136">
        <v>435249.28999999992</v>
      </c>
      <c r="J7" s="154">
        <v>435249.28999999992</v>
      </c>
      <c r="K7" s="136">
        <v>461444.32000000012</v>
      </c>
      <c r="L7" s="136">
        <v>435939.99</v>
      </c>
      <c r="M7" s="155">
        <v>435939.99</v>
      </c>
      <c r="N7" s="137"/>
      <c r="O7" s="138"/>
      <c r="P7" s="139"/>
    </row>
    <row r="8" spans="1:30">
      <c r="A8" s="134">
        <v>6</v>
      </c>
      <c r="B8" s="135">
        <v>2005</v>
      </c>
      <c r="C8" s="135" t="s">
        <v>54</v>
      </c>
      <c r="D8" s="135" t="s">
        <v>267</v>
      </c>
      <c r="E8" s="140">
        <v>29334</v>
      </c>
      <c r="F8" s="140">
        <v>7713.34</v>
      </c>
      <c r="G8" s="140"/>
      <c r="H8" s="140">
        <v>65509</v>
      </c>
      <c r="I8" s="140">
        <v>9268.74</v>
      </c>
      <c r="J8" s="140"/>
      <c r="K8" s="140">
        <v>16909</v>
      </c>
      <c r="L8" s="140">
        <v>37546.39</v>
      </c>
      <c r="M8" s="141">
        <v>54528.47</v>
      </c>
      <c r="N8" s="142">
        <v>111752</v>
      </c>
      <c r="O8" s="143">
        <v>54528.47</v>
      </c>
      <c r="P8" s="156">
        <v>54528.47</v>
      </c>
      <c r="Q8" s="2"/>
    </row>
    <row r="9" spans="1:30" ht="36.75">
      <c r="A9" s="134">
        <v>7</v>
      </c>
      <c r="B9" s="135">
        <v>2006</v>
      </c>
      <c r="C9" s="144" t="s">
        <v>48</v>
      </c>
      <c r="D9" s="144"/>
      <c r="E9" s="136">
        <v>166039.59999999998</v>
      </c>
      <c r="F9" s="136">
        <v>154945.95000000001</v>
      </c>
      <c r="G9" s="154">
        <v>154945.95000000001</v>
      </c>
      <c r="H9" s="136">
        <v>166039.59999999998</v>
      </c>
      <c r="I9" s="136">
        <v>138860.23000000001</v>
      </c>
      <c r="J9" s="154">
        <v>138860.23000000001</v>
      </c>
      <c r="K9" s="136">
        <v>166039.59999999998</v>
      </c>
      <c r="L9" s="136">
        <v>138911.67999999999</v>
      </c>
      <c r="M9" s="155">
        <v>138911.67999999999</v>
      </c>
      <c r="N9" s="137"/>
      <c r="O9" s="138"/>
      <c r="P9" s="139"/>
    </row>
    <row r="10" spans="1:30">
      <c r="A10" s="134">
        <v>8</v>
      </c>
      <c r="B10" s="135">
        <v>2008</v>
      </c>
      <c r="C10" s="135" t="s">
        <v>268</v>
      </c>
      <c r="D10" s="135" t="s">
        <v>264</v>
      </c>
      <c r="E10" s="136">
        <v>72641.180000000008</v>
      </c>
      <c r="F10" s="136">
        <v>60580.350000000006</v>
      </c>
      <c r="G10" s="154">
        <v>60580.350000000006</v>
      </c>
      <c r="H10" s="136">
        <v>72641.180000000008</v>
      </c>
      <c r="I10" s="136">
        <v>63239.710000000006</v>
      </c>
      <c r="J10" s="154">
        <v>63239.710000000006</v>
      </c>
      <c r="K10" s="136">
        <v>72641.180000000008</v>
      </c>
      <c r="L10" s="136">
        <v>62549.48</v>
      </c>
      <c r="M10" s="155">
        <v>62549.48</v>
      </c>
      <c r="N10" s="137"/>
      <c r="O10" s="138"/>
      <c r="P10" s="139"/>
    </row>
    <row r="11" spans="1:30">
      <c r="A11" s="134">
        <v>9</v>
      </c>
      <c r="B11" s="135">
        <v>2008</v>
      </c>
      <c r="C11" s="135" t="s">
        <v>268</v>
      </c>
      <c r="D11" s="135" t="s">
        <v>267</v>
      </c>
      <c r="E11" s="140">
        <v>12490</v>
      </c>
      <c r="F11" s="140">
        <v>1357.24</v>
      </c>
      <c r="G11" s="140"/>
      <c r="H11" s="140">
        <v>16590</v>
      </c>
      <c r="I11" s="140">
        <v>615</v>
      </c>
      <c r="J11" s="140"/>
      <c r="K11" s="140">
        <v>2590</v>
      </c>
      <c r="L11" s="140">
        <v>4476.53</v>
      </c>
      <c r="M11" s="141">
        <v>6448.7699999999995</v>
      </c>
      <c r="N11" s="142">
        <v>31670</v>
      </c>
      <c r="O11" s="143">
        <v>6448.7699999999995</v>
      </c>
      <c r="P11" s="156">
        <v>6448.7699999999995</v>
      </c>
      <c r="Q11" s="2"/>
    </row>
    <row r="12" spans="1:30">
      <c r="A12" s="134">
        <v>10</v>
      </c>
      <c r="B12" s="135">
        <v>9002</v>
      </c>
      <c r="C12" s="135" t="s">
        <v>50</v>
      </c>
      <c r="D12" s="135"/>
      <c r="E12" s="136">
        <v>16724206.25</v>
      </c>
      <c r="F12" s="136">
        <v>1022997.81</v>
      </c>
      <c r="G12" s="154">
        <v>1022997.81</v>
      </c>
      <c r="H12" s="136">
        <v>1731276.2499999998</v>
      </c>
      <c r="I12" s="136">
        <v>1809691.6300000004</v>
      </c>
      <c r="J12" s="154">
        <v>1809691.6300000004</v>
      </c>
      <c r="K12" s="136">
        <v>1709556.2499999998</v>
      </c>
      <c r="L12" s="136">
        <v>787846.00999999989</v>
      </c>
      <c r="M12" s="155">
        <v>787846.00999999989</v>
      </c>
      <c r="N12" s="137"/>
      <c r="O12" s="138"/>
      <c r="P12" s="139"/>
    </row>
    <row r="13" spans="1:30">
      <c r="A13" s="134">
        <v>11</v>
      </c>
      <c r="B13" s="135">
        <v>9003</v>
      </c>
      <c r="C13" s="135" t="s">
        <v>55</v>
      </c>
      <c r="D13" s="135"/>
      <c r="E13" s="136">
        <v>293440.98</v>
      </c>
      <c r="F13" s="136">
        <v>291340.19999999995</v>
      </c>
      <c r="G13" s="154">
        <v>291340.19999999995</v>
      </c>
      <c r="H13" s="136">
        <v>289940.98</v>
      </c>
      <c r="I13" s="136">
        <v>270638.70999999996</v>
      </c>
      <c r="J13" s="154">
        <v>270638.70999999996</v>
      </c>
      <c r="K13" s="136">
        <v>289940.98</v>
      </c>
      <c r="L13" s="136">
        <v>572863.51999999979</v>
      </c>
      <c r="M13" s="155">
        <v>572863.51999999979</v>
      </c>
      <c r="N13" s="137"/>
      <c r="O13" s="138"/>
      <c r="P13" s="139"/>
    </row>
    <row r="14" spans="1:30">
      <c r="A14" s="134">
        <v>12</v>
      </c>
      <c r="B14" s="135">
        <v>9004</v>
      </c>
      <c r="C14" s="135" t="s">
        <v>64</v>
      </c>
      <c r="D14" s="135" t="s">
        <v>264</v>
      </c>
      <c r="E14" s="136">
        <v>1367592.2999999993</v>
      </c>
      <c r="F14" s="136">
        <v>1531909.1699999995</v>
      </c>
      <c r="G14" s="154">
        <v>1531909.1699999995</v>
      </c>
      <c r="H14" s="136">
        <v>1372662.2999999993</v>
      </c>
      <c r="I14" s="136">
        <v>1377652.9700000002</v>
      </c>
      <c r="J14" s="154">
        <v>1377652.9700000002</v>
      </c>
      <c r="K14" s="136">
        <v>1367592.2999999993</v>
      </c>
      <c r="L14" s="136">
        <v>1413221.6</v>
      </c>
      <c r="M14" s="155">
        <v>1413221.6</v>
      </c>
      <c r="N14" s="137"/>
      <c r="O14" s="138"/>
      <c r="P14" s="139"/>
    </row>
    <row r="15" spans="1:30">
      <c r="A15" s="134">
        <v>13</v>
      </c>
      <c r="B15" s="135">
        <v>9004</v>
      </c>
      <c r="C15" s="135" t="s">
        <v>63</v>
      </c>
      <c r="D15" s="135"/>
      <c r="E15" s="136">
        <v>643118.02</v>
      </c>
      <c r="F15" s="136">
        <v>855079.08000000007</v>
      </c>
      <c r="G15" s="154">
        <v>855079.08000000007</v>
      </c>
      <c r="H15" s="136">
        <v>2396618.02</v>
      </c>
      <c r="I15" s="136">
        <v>298290.02999999997</v>
      </c>
      <c r="J15" s="154">
        <v>298290.02999999997</v>
      </c>
      <c r="K15" s="136">
        <v>4439618.0199999996</v>
      </c>
      <c r="L15" s="136">
        <v>1061516.8799999999</v>
      </c>
      <c r="M15" s="155">
        <v>1061516.8799999999</v>
      </c>
      <c r="N15" s="137"/>
      <c r="O15" s="138"/>
      <c r="P15" s="139"/>
    </row>
    <row r="16" spans="1:30">
      <c r="A16" s="134">
        <v>14</v>
      </c>
      <c r="B16" s="135">
        <v>9005</v>
      </c>
      <c r="C16" s="135" t="s">
        <v>269</v>
      </c>
      <c r="D16" s="135" t="s">
        <v>264</v>
      </c>
      <c r="E16" s="136">
        <v>184148.36000000002</v>
      </c>
      <c r="F16" s="136">
        <v>183509.49</v>
      </c>
      <c r="G16" s="154">
        <v>183509.49</v>
      </c>
      <c r="H16" s="136">
        <v>184148.36000000002</v>
      </c>
      <c r="I16" s="136">
        <v>158663.19999999998</v>
      </c>
      <c r="J16" s="154">
        <v>158663.19999999998</v>
      </c>
      <c r="K16" s="136">
        <v>184148.36000000002</v>
      </c>
      <c r="L16" s="136">
        <v>163704.01999999999</v>
      </c>
      <c r="M16" s="155">
        <v>163704.01999999999</v>
      </c>
      <c r="N16" s="137"/>
      <c r="O16" s="138"/>
      <c r="P16" s="139"/>
    </row>
    <row r="17" spans="1:17">
      <c r="A17" s="134">
        <v>15</v>
      </c>
      <c r="B17" s="135">
        <v>9005</v>
      </c>
      <c r="C17" s="135" t="s">
        <v>56</v>
      </c>
      <c r="D17" s="135" t="s">
        <v>267</v>
      </c>
      <c r="E17" s="140">
        <v>12722</v>
      </c>
      <c r="F17" s="140">
        <v>3384.56</v>
      </c>
      <c r="G17" s="140"/>
      <c r="H17" s="140">
        <v>30742</v>
      </c>
      <c r="I17" s="140">
        <v>8763.3799999999992</v>
      </c>
      <c r="J17" s="140"/>
      <c r="K17" s="140">
        <v>12942</v>
      </c>
      <c r="L17" s="140">
        <v>6607.18</v>
      </c>
      <c r="M17" s="141">
        <v>18755.12</v>
      </c>
      <c r="N17" s="142">
        <v>56406</v>
      </c>
      <c r="O17" s="143">
        <v>18755.12</v>
      </c>
      <c r="P17" s="156">
        <v>18755.12</v>
      </c>
      <c r="Q17" s="2"/>
    </row>
    <row r="18" spans="1:17" ht="15.75" thickBot="1">
      <c r="A18" s="145">
        <v>16</v>
      </c>
      <c r="B18" s="146">
        <v>9006</v>
      </c>
      <c r="C18" s="146" t="s">
        <v>57</v>
      </c>
      <c r="D18" s="146"/>
      <c r="E18" s="147">
        <v>241562.49000000002</v>
      </c>
      <c r="F18" s="147">
        <v>249041.44999999995</v>
      </c>
      <c r="G18" s="147">
        <v>249041.44999999995</v>
      </c>
      <c r="H18" s="147">
        <v>244162.49000000002</v>
      </c>
      <c r="I18" s="147">
        <v>283825.54999999993</v>
      </c>
      <c r="J18" s="147">
        <v>283825.54999999993</v>
      </c>
      <c r="K18" s="147">
        <v>241412.49000000002</v>
      </c>
      <c r="L18" s="147">
        <v>277106.78000000003</v>
      </c>
      <c r="M18" s="148">
        <v>277106.78000000003</v>
      </c>
      <c r="N18" s="149"/>
      <c r="O18" s="150"/>
      <c r="P18" s="151"/>
    </row>
    <row r="20" spans="1:17">
      <c r="E20" s="65">
        <f>SUM(E3:E19)</f>
        <v>54953108.420000002</v>
      </c>
      <c r="F20" s="65">
        <f t="shared" ref="F20:L20" si="0">SUM(F3:F19)</f>
        <v>43527195.980000034</v>
      </c>
      <c r="G20" s="65">
        <f t="shared" si="0"/>
        <v>43514740.840000026</v>
      </c>
      <c r="H20" s="65">
        <f t="shared" si="0"/>
        <v>24838556.249999996</v>
      </c>
      <c r="I20" s="65">
        <f t="shared" si="0"/>
        <v>33452166.499999996</v>
      </c>
      <c r="J20" s="65">
        <f t="shared" si="0"/>
        <v>33433519.379999999</v>
      </c>
      <c r="K20" s="65">
        <f t="shared" si="0"/>
        <v>23604839.029999997</v>
      </c>
      <c r="L20" s="65">
        <f t="shared" si="0"/>
        <v>19186396.309999995</v>
      </c>
      <c r="M20" s="65">
        <f>SUM(M3:M19)</f>
        <v>19217498.569999997</v>
      </c>
    </row>
    <row r="21" spans="1:17">
      <c r="E21" s="2">
        <v>54953108.419999994</v>
      </c>
      <c r="F21" s="2">
        <v>43527195.979999952</v>
      </c>
      <c r="G21" s="2">
        <v>43527195.979999952</v>
      </c>
      <c r="H21" s="2">
        <v>24838556.250000004</v>
      </c>
      <c r="I21" s="2">
        <v>33452166.499999996</v>
      </c>
      <c r="J21" s="2">
        <v>33452166.499999996</v>
      </c>
      <c r="K21" s="2">
        <v>23604839.030000012</v>
      </c>
      <c r="L21" s="2">
        <v>19186396.310000002</v>
      </c>
      <c r="M21" s="2">
        <v>19186396.310000002</v>
      </c>
    </row>
    <row r="23" spans="1:17">
      <c r="E23" s="65">
        <f>E20-E21</f>
        <v>0</v>
      </c>
      <c r="F23" s="65">
        <f t="shared" ref="F23:M23" si="1">F20-F21</f>
        <v>8.1956386566162109E-8</v>
      </c>
      <c r="G23" s="65">
        <f t="shared" si="1"/>
        <v>-12455.13999992609</v>
      </c>
      <c r="H23" s="65">
        <f t="shared" si="1"/>
        <v>0</v>
      </c>
      <c r="I23" s="65">
        <f t="shared" si="1"/>
        <v>0</v>
      </c>
      <c r="J23" s="65">
        <f t="shared" si="1"/>
        <v>-18647.119999997318</v>
      </c>
      <c r="K23" s="65">
        <f t="shared" si="1"/>
        <v>0</v>
      </c>
      <c r="L23" s="65">
        <f t="shared" si="1"/>
        <v>0</v>
      </c>
      <c r="M23" s="65">
        <f t="shared" si="1"/>
        <v>31102.259999994189</v>
      </c>
    </row>
    <row r="25" spans="1:17">
      <c r="G25" s="65">
        <f>G20-G8-G11-G17</f>
        <v>43514740.840000026</v>
      </c>
      <c r="J25" s="65">
        <f>J20-J8-J11-J17</f>
        <v>33433519.379999999</v>
      </c>
      <c r="M25" s="65">
        <f>M20-M8-M11-M17</f>
        <v>19137766.209999997</v>
      </c>
      <c r="N25" s="65">
        <f>M25+P8+P11+P17</f>
        <v>19217498.569999997</v>
      </c>
    </row>
    <row r="26" spans="1:17">
      <c r="G26" s="2">
        <v>43514740.840000026</v>
      </c>
      <c r="H26" s="2">
        <v>33433519.379999999</v>
      </c>
      <c r="I26" s="2">
        <v>19217498.569999997</v>
      </c>
    </row>
    <row r="27" spans="1:17">
      <c r="J27" s="65">
        <f>G26+H26+I26</f>
        <v>96165758.790000021</v>
      </c>
      <c r="M27" s="65"/>
    </row>
    <row r="28" spans="1:17">
      <c r="G28" s="65">
        <f>G20-G26</f>
        <v>0</v>
      </c>
      <c r="M28" s="65"/>
    </row>
    <row r="29" spans="1:17">
      <c r="M29" s="65"/>
    </row>
    <row r="30" spans="1:17">
      <c r="M30" s="65"/>
    </row>
  </sheetData>
  <mergeCells count="4">
    <mergeCell ref="E2:G2"/>
    <mergeCell ref="H2:J2"/>
    <mergeCell ref="K2:M2"/>
    <mergeCell ref="N2:P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1"/>
  <sheetViews>
    <sheetView view="pageBreakPreview" topLeftCell="A73" zoomScale="85" zoomScaleNormal="100" zoomScaleSheetLayoutView="85" workbookViewId="0">
      <selection activeCell="J27" sqref="J27"/>
    </sheetView>
  </sheetViews>
  <sheetFormatPr baseColWidth="10" defaultRowHeight="15"/>
  <cols>
    <col min="1" max="1" width="4.5703125" customWidth="1"/>
    <col min="2" max="2" width="27.85546875" customWidth="1"/>
    <col min="3" max="3" width="14" customWidth="1"/>
    <col min="4" max="4" width="12.140625" style="4" customWidth="1"/>
    <col min="5" max="8" width="14.140625" customWidth="1"/>
    <col min="9" max="9" width="13.7109375" customWidth="1"/>
    <col min="10" max="10" width="14.140625" customWidth="1"/>
    <col min="11" max="11" width="14.5703125" customWidth="1"/>
    <col min="12" max="12" width="13.28515625" customWidth="1"/>
    <col min="13" max="13" width="14.140625" customWidth="1"/>
    <col min="14" max="14" width="14.42578125" customWidth="1"/>
    <col min="15" max="15" width="14.28515625" customWidth="1"/>
    <col min="16" max="16" width="15" customWidth="1"/>
    <col min="17" max="17" width="12.7109375" customWidth="1"/>
    <col min="18" max="18" width="14.7109375" customWidth="1"/>
    <col min="19" max="19" width="19.28515625" customWidth="1"/>
    <col min="20" max="20" width="16.42578125" customWidth="1"/>
    <col min="21" max="21" width="10.7109375" style="2" hidden="1" customWidth="1"/>
    <col min="22" max="22" width="0" hidden="1" customWidth="1"/>
    <col min="23" max="23" width="7.42578125" hidden="1" customWidth="1"/>
  </cols>
  <sheetData>
    <row r="1" spans="1:21" ht="18.75">
      <c r="A1" s="1"/>
      <c r="B1" s="1"/>
      <c r="C1" s="1"/>
      <c r="D1" s="67"/>
      <c r="E1" s="1"/>
      <c r="F1" s="1"/>
      <c r="G1" s="1"/>
      <c r="H1" s="1"/>
      <c r="I1" s="1"/>
      <c r="J1" s="1"/>
      <c r="K1" s="1"/>
      <c r="L1" s="1"/>
      <c r="M1" s="1"/>
      <c r="N1" s="1"/>
      <c r="O1" s="1"/>
      <c r="P1" s="1"/>
      <c r="Q1" s="1"/>
      <c r="R1" s="1"/>
      <c r="S1" s="1"/>
      <c r="T1" s="1"/>
      <c r="U1" s="5"/>
    </row>
    <row r="2" spans="1:21" ht="25.5">
      <c r="A2" s="528" t="s">
        <v>242</v>
      </c>
      <c r="B2" s="528"/>
      <c r="C2" s="528"/>
      <c r="D2" s="528"/>
      <c r="E2" s="528"/>
      <c r="F2" s="528"/>
      <c r="G2" s="528"/>
      <c r="H2" s="528"/>
      <c r="I2" s="528"/>
      <c r="J2" s="528"/>
      <c r="K2" s="528"/>
      <c r="L2" s="528"/>
      <c r="M2" s="528"/>
      <c r="N2" s="528"/>
      <c r="O2" s="528"/>
      <c r="P2" s="528"/>
      <c r="Q2" s="528"/>
      <c r="R2" s="528"/>
      <c r="S2" s="528"/>
      <c r="T2" s="528"/>
      <c r="U2" s="6"/>
    </row>
    <row r="3" spans="1:21" ht="18">
      <c r="A3" s="529"/>
      <c r="B3" s="529"/>
      <c r="C3" s="529"/>
      <c r="D3" s="529"/>
      <c r="E3" s="529"/>
      <c r="F3" s="529"/>
      <c r="G3" s="529"/>
      <c r="H3" s="529"/>
      <c r="I3" s="529"/>
      <c r="J3" s="529"/>
      <c r="K3" s="529"/>
      <c r="L3" s="529"/>
      <c r="M3" s="529"/>
      <c r="N3" s="529"/>
      <c r="O3" s="529"/>
      <c r="P3" s="529"/>
      <c r="Q3" s="529"/>
      <c r="R3" s="529"/>
      <c r="S3" s="529"/>
      <c r="T3" s="529"/>
      <c r="U3" s="7"/>
    </row>
    <row r="4" spans="1:21" ht="16.5" thickBot="1">
      <c r="A4" s="8"/>
      <c r="B4" s="8"/>
      <c r="C4" s="8"/>
      <c r="D4" s="8"/>
      <c r="E4" s="8"/>
      <c r="F4" s="8"/>
      <c r="G4" s="8"/>
      <c r="H4" s="8"/>
      <c r="I4" s="8"/>
      <c r="J4" s="8"/>
      <c r="K4" s="8"/>
      <c r="L4" s="8"/>
      <c r="M4" s="8"/>
      <c r="N4" s="8"/>
      <c r="O4" s="8"/>
      <c r="P4" s="8"/>
      <c r="Q4" s="8"/>
      <c r="R4" s="8"/>
      <c r="S4" s="8"/>
      <c r="T4" s="8"/>
      <c r="U4" s="9"/>
    </row>
    <row r="5" spans="1:21" s="13" customFormat="1" ht="22.5" customHeight="1">
      <c r="A5" s="10" t="s">
        <v>0</v>
      </c>
      <c r="B5" s="11"/>
      <c r="C5" s="11"/>
      <c r="D5" s="11"/>
      <c r="E5" s="11"/>
      <c r="F5" s="11"/>
      <c r="G5" s="11"/>
      <c r="H5" s="11"/>
      <c r="I5" s="11"/>
      <c r="J5" s="11"/>
      <c r="K5" s="11"/>
      <c r="L5" s="11"/>
      <c r="M5" s="11"/>
      <c r="N5" s="11"/>
      <c r="O5" s="11"/>
      <c r="P5" s="11"/>
      <c r="Q5" s="11"/>
      <c r="R5" s="11"/>
      <c r="S5" s="11"/>
      <c r="T5" s="11"/>
      <c r="U5" s="12"/>
    </row>
    <row r="6" spans="1:21" ht="19.5" customHeight="1">
      <c r="A6" s="404" t="s">
        <v>66</v>
      </c>
      <c r="B6" s="404"/>
      <c r="C6" s="404"/>
      <c r="D6" s="404"/>
      <c r="E6" s="404"/>
      <c r="F6" s="404"/>
      <c r="G6" s="404"/>
      <c r="H6" s="404"/>
      <c r="I6" s="404"/>
      <c r="J6" s="404"/>
      <c r="K6" s="404" t="s">
        <v>67</v>
      </c>
      <c r="L6" s="404"/>
      <c r="M6" s="404"/>
      <c r="N6" s="404"/>
      <c r="O6" s="404"/>
      <c r="P6" s="404"/>
      <c r="Q6" s="404"/>
      <c r="R6" s="404"/>
      <c r="S6" s="404"/>
      <c r="T6" s="404"/>
      <c r="U6" s="14"/>
    </row>
    <row r="7" spans="1:21" ht="15.75" customHeight="1">
      <c r="A7" s="530" t="s">
        <v>68</v>
      </c>
      <c r="B7" s="531"/>
      <c r="C7" s="531"/>
      <c r="D7" s="531"/>
      <c r="E7" s="531"/>
      <c r="F7" s="531"/>
      <c r="G7" s="531"/>
      <c r="H7" s="531"/>
      <c r="I7" s="531"/>
      <c r="J7" s="531"/>
      <c r="K7" s="406" t="s">
        <v>26</v>
      </c>
      <c r="L7" s="406"/>
      <c r="M7" s="406"/>
      <c r="N7" s="406"/>
      <c r="O7" s="406"/>
      <c r="P7" s="406"/>
      <c r="Q7" s="406"/>
      <c r="R7" s="406"/>
      <c r="S7" s="406"/>
      <c r="T7" s="406"/>
      <c r="U7" s="15"/>
    </row>
    <row r="8" spans="1:21" ht="21" customHeight="1">
      <c r="A8" s="404" t="s">
        <v>69</v>
      </c>
      <c r="B8" s="404"/>
      <c r="C8" s="404"/>
      <c r="D8" s="404"/>
      <c r="E8" s="404"/>
      <c r="F8" s="404"/>
      <c r="G8" s="404"/>
      <c r="H8" s="404"/>
      <c r="I8" s="404"/>
      <c r="J8" s="404"/>
      <c r="K8" s="404" t="s">
        <v>70</v>
      </c>
      <c r="L8" s="404"/>
      <c r="M8" s="404"/>
      <c r="N8" s="404"/>
      <c r="O8" s="404"/>
      <c r="P8" s="404"/>
      <c r="Q8" s="404"/>
      <c r="R8" s="404"/>
      <c r="S8" s="404"/>
      <c r="T8" s="404"/>
      <c r="U8" s="14"/>
    </row>
    <row r="9" spans="1:21" ht="177.75" customHeight="1">
      <c r="A9" s="522" t="s">
        <v>27</v>
      </c>
      <c r="B9" s="523"/>
      <c r="C9" s="523"/>
      <c r="D9" s="523"/>
      <c r="E9" s="523"/>
      <c r="F9" s="523"/>
      <c r="G9" s="523"/>
      <c r="H9" s="523"/>
      <c r="I9" s="523"/>
      <c r="J9" s="524"/>
      <c r="K9" s="473" t="s">
        <v>71</v>
      </c>
      <c r="L9" s="473"/>
      <c r="M9" s="473"/>
      <c r="N9" s="473"/>
      <c r="O9" s="473"/>
      <c r="P9" s="473"/>
      <c r="Q9" s="473"/>
      <c r="R9" s="473"/>
      <c r="S9" s="473"/>
      <c r="T9" s="473"/>
      <c r="U9" s="16"/>
    </row>
    <row r="10" spans="1:21" ht="6" customHeight="1">
      <c r="A10" s="525"/>
      <c r="B10" s="525"/>
      <c r="C10" s="525"/>
      <c r="D10" s="525"/>
      <c r="E10" s="525"/>
      <c r="F10" s="525"/>
      <c r="G10" s="525"/>
      <c r="H10" s="525"/>
      <c r="I10" s="525"/>
      <c r="J10" s="525"/>
      <c r="K10" s="525"/>
      <c r="L10" s="525"/>
      <c r="M10" s="525"/>
      <c r="N10" s="525"/>
      <c r="O10" s="525"/>
      <c r="P10" s="525"/>
      <c r="Q10" s="17"/>
      <c r="R10" s="18"/>
      <c r="S10" s="18"/>
      <c r="T10" s="18"/>
      <c r="U10" s="19"/>
    </row>
    <row r="11" spans="1:21" s="21" customFormat="1" ht="21" customHeight="1">
      <c r="A11" s="562" t="s">
        <v>17</v>
      </c>
      <c r="B11" s="563"/>
      <c r="C11" s="563"/>
      <c r="D11" s="563"/>
      <c r="E11" s="563"/>
      <c r="F11" s="563"/>
      <c r="G11" s="563"/>
      <c r="H11" s="563"/>
      <c r="I11" s="563"/>
      <c r="J11" s="563"/>
      <c r="K11" s="563"/>
      <c r="L11" s="563"/>
      <c r="M11" s="563"/>
      <c r="N11" s="563"/>
      <c r="O11" s="563"/>
      <c r="P11" s="563"/>
      <c r="Q11" s="563"/>
      <c r="R11" s="563"/>
      <c r="S11" s="563"/>
      <c r="T11" s="563"/>
      <c r="U11" s="20"/>
    </row>
    <row r="12" spans="1:21" s="21" customFormat="1" ht="21" customHeight="1">
      <c r="A12" s="546" t="s">
        <v>18</v>
      </c>
      <c r="B12" s="546"/>
      <c r="C12" s="546"/>
      <c r="D12" s="546"/>
      <c r="E12" s="546" t="s">
        <v>20</v>
      </c>
      <c r="F12" s="546"/>
      <c r="G12" s="546"/>
      <c r="H12" s="546"/>
      <c r="I12" s="546" t="s">
        <v>22</v>
      </c>
      <c r="J12" s="546"/>
      <c r="K12" s="546"/>
      <c r="L12" s="546"/>
      <c r="M12" s="546"/>
      <c r="N12" s="546"/>
      <c r="O12" s="546"/>
      <c r="P12" s="546"/>
      <c r="Q12" s="547" t="s">
        <v>24</v>
      </c>
      <c r="R12" s="548"/>
      <c r="S12" s="548"/>
      <c r="T12" s="549"/>
      <c r="U12" s="22"/>
    </row>
    <row r="13" spans="1:21" s="21" customFormat="1" ht="21" customHeight="1">
      <c r="A13" s="550" t="s">
        <v>19</v>
      </c>
      <c r="B13" s="551"/>
      <c r="C13" s="551"/>
      <c r="D13" s="552"/>
      <c r="E13" s="553" t="s">
        <v>21</v>
      </c>
      <c r="F13" s="554"/>
      <c r="G13" s="554"/>
      <c r="H13" s="555"/>
      <c r="I13" s="556" t="s">
        <v>23</v>
      </c>
      <c r="J13" s="557"/>
      <c r="K13" s="557"/>
      <c r="L13" s="557"/>
      <c r="M13" s="557"/>
      <c r="N13" s="557"/>
      <c r="O13" s="557"/>
      <c r="P13" s="558"/>
      <c r="Q13" s="559" t="s">
        <v>25</v>
      </c>
      <c r="R13" s="560"/>
      <c r="S13" s="560"/>
      <c r="T13" s="561"/>
      <c r="U13" s="23"/>
    </row>
    <row r="14" spans="1:21" ht="8.25" customHeight="1">
      <c r="A14" s="24"/>
      <c r="B14" s="24"/>
      <c r="C14" s="24"/>
      <c r="D14" s="24"/>
      <c r="E14" s="25"/>
      <c r="F14" s="25"/>
      <c r="G14" s="25"/>
      <c r="H14" s="25"/>
      <c r="I14" s="26"/>
      <c r="J14" s="26"/>
      <c r="K14" s="26"/>
      <c r="L14" s="26"/>
      <c r="M14" s="26"/>
      <c r="N14" s="26"/>
      <c r="O14" s="26"/>
      <c r="P14" s="26"/>
      <c r="Q14" s="26"/>
      <c r="R14" s="26"/>
      <c r="S14" s="26"/>
      <c r="T14" s="18"/>
      <c r="U14" s="19"/>
    </row>
    <row r="15" spans="1:21" s="28" customFormat="1" ht="15.75" customHeight="1">
      <c r="A15" s="397" t="s">
        <v>72</v>
      </c>
      <c r="B15" s="397" t="s">
        <v>73</v>
      </c>
      <c r="C15" s="397" t="s">
        <v>46</v>
      </c>
      <c r="D15" s="397" t="s">
        <v>28</v>
      </c>
      <c r="E15" s="512" t="s">
        <v>33</v>
      </c>
      <c r="F15" s="512" t="s">
        <v>34</v>
      </c>
      <c r="G15" s="512" t="s">
        <v>35</v>
      </c>
      <c r="H15" s="512" t="s">
        <v>36</v>
      </c>
      <c r="I15" s="512" t="s">
        <v>37</v>
      </c>
      <c r="J15" s="512" t="s">
        <v>38</v>
      </c>
      <c r="K15" s="512" t="s">
        <v>39</v>
      </c>
      <c r="L15" s="512" t="s">
        <v>40</v>
      </c>
      <c r="M15" s="512" t="s">
        <v>41</v>
      </c>
      <c r="N15" s="512" t="s">
        <v>47</v>
      </c>
      <c r="O15" s="512" t="s">
        <v>42</v>
      </c>
      <c r="P15" s="512" t="s">
        <v>43</v>
      </c>
      <c r="Q15" s="526" t="s">
        <v>74</v>
      </c>
      <c r="R15" s="526" t="s">
        <v>75</v>
      </c>
      <c r="S15" s="526" t="s">
        <v>76</v>
      </c>
      <c r="T15" s="526"/>
      <c r="U15" s="27"/>
    </row>
    <row r="16" spans="1:21" s="28" customFormat="1" ht="22.5" customHeight="1">
      <c r="A16" s="397"/>
      <c r="B16" s="397"/>
      <c r="C16" s="397"/>
      <c r="D16" s="397"/>
      <c r="E16" s="513"/>
      <c r="F16" s="513"/>
      <c r="G16" s="513"/>
      <c r="H16" s="513"/>
      <c r="I16" s="513"/>
      <c r="J16" s="513"/>
      <c r="K16" s="513"/>
      <c r="L16" s="513"/>
      <c r="M16" s="513"/>
      <c r="N16" s="513"/>
      <c r="O16" s="513"/>
      <c r="P16" s="513"/>
      <c r="Q16" s="526"/>
      <c r="R16" s="526"/>
      <c r="S16" s="29" t="s">
        <v>30</v>
      </c>
      <c r="T16" s="29" t="s">
        <v>77</v>
      </c>
      <c r="U16" s="27"/>
    </row>
    <row r="17" spans="1:23" ht="40.5" customHeight="1">
      <c r="A17" s="514">
        <v>1</v>
      </c>
      <c r="B17" s="516" t="s">
        <v>1</v>
      </c>
      <c r="C17" s="518" t="s">
        <v>31</v>
      </c>
      <c r="D17" s="68" t="s">
        <v>3</v>
      </c>
      <c r="E17" s="30">
        <v>1</v>
      </c>
      <c r="F17" s="30">
        <v>1</v>
      </c>
      <c r="G17" s="30">
        <v>1</v>
      </c>
      <c r="H17" s="30">
        <v>1</v>
      </c>
      <c r="I17" s="30">
        <v>1</v>
      </c>
      <c r="J17" s="30">
        <v>1</v>
      </c>
      <c r="K17" s="30">
        <v>1</v>
      </c>
      <c r="L17" s="30">
        <v>1</v>
      </c>
      <c r="M17" s="30">
        <v>1</v>
      </c>
      <c r="N17" s="30">
        <v>1</v>
      </c>
      <c r="O17" s="30">
        <v>1</v>
      </c>
      <c r="P17" s="30">
        <v>1</v>
      </c>
      <c r="Q17" s="519">
        <v>991150</v>
      </c>
      <c r="R17" s="31">
        <f>SUM(E17:P17)</f>
        <v>12</v>
      </c>
      <c r="S17" s="542" t="s">
        <v>95</v>
      </c>
      <c r="T17" s="543" t="s">
        <v>78</v>
      </c>
      <c r="U17" s="32"/>
      <c r="V17" s="28"/>
    </row>
    <row r="18" spans="1:23" ht="36.75" customHeight="1">
      <c r="A18" s="515"/>
      <c r="B18" s="517"/>
      <c r="C18" s="378"/>
      <c r="D18" s="69" t="s">
        <v>79</v>
      </c>
      <c r="E18" s="82">
        <v>33705405.22045669</v>
      </c>
      <c r="F18" s="82">
        <v>16766718.050666679</v>
      </c>
      <c r="G18" s="82">
        <v>13617040.828266682</v>
      </c>
      <c r="H18" s="82">
        <v>7291863.3190666819</v>
      </c>
      <c r="I18" s="82">
        <v>8716805.9278666805</v>
      </c>
      <c r="J18" s="82">
        <v>8560519.3290666807</v>
      </c>
      <c r="K18" s="82">
        <v>6790469.5062666824</v>
      </c>
      <c r="L18" s="82">
        <v>6596589.1474666828</v>
      </c>
      <c r="M18" s="82">
        <v>8239156.4022666831</v>
      </c>
      <c r="N18" s="82">
        <v>8474381.9638666827</v>
      </c>
      <c r="O18" s="82">
        <v>8830329.02466668</v>
      </c>
      <c r="P18" s="82">
        <v>7634887.8622666812</v>
      </c>
      <c r="Q18" s="520"/>
      <c r="R18" s="33">
        <f t="shared" ref="R18:R80" si="0">SUM(E18:P18)</f>
        <v>135224166.58219019</v>
      </c>
      <c r="S18" s="538"/>
      <c r="T18" s="539"/>
      <c r="U18" s="32">
        <v>64535348.479999982</v>
      </c>
      <c r="W18" s="34">
        <f>R18-U18</f>
        <v>70688818.102190197</v>
      </c>
    </row>
    <row r="19" spans="1:23" ht="36" customHeight="1">
      <c r="A19" s="515"/>
      <c r="B19" s="517"/>
      <c r="C19" s="527" t="s">
        <v>45</v>
      </c>
      <c r="D19" s="35" t="str">
        <f>D17</f>
        <v>Estados Financieros</v>
      </c>
      <c r="E19" s="36"/>
      <c r="F19" s="36"/>
      <c r="G19" s="37"/>
      <c r="H19" s="36"/>
      <c r="I19" s="36"/>
      <c r="J19" s="37"/>
      <c r="K19" s="36"/>
      <c r="L19" s="36"/>
      <c r="M19" s="36"/>
      <c r="N19" s="36"/>
      <c r="O19" s="36"/>
      <c r="P19" s="36"/>
      <c r="Q19" s="38"/>
      <c r="R19" s="39">
        <f>SUM(E19:P19)</f>
        <v>0</v>
      </c>
      <c r="S19" s="532">
        <f>R19/R17</f>
        <v>0</v>
      </c>
      <c r="T19" s="536">
        <f>R20/R18</f>
        <v>0</v>
      </c>
      <c r="U19" s="32"/>
    </row>
    <row r="20" spans="1:23" ht="30.75" customHeight="1">
      <c r="A20" s="515"/>
      <c r="B20" s="517"/>
      <c r="C20" s="527"/>
      <c r="D20" s="35" t="str">
        <f>D18</f>
        <v>Monto</v>
      </c>
      <c r="E20" s="40"/>
      <c r="F20" s="40"/>
      <c r="G20" s="40"/>
      <c r="H20" s="40"/>
      <c r="I20" s="40"/>
      <c r="J20" s="40"/>
      <c r="K20" s="40"/>
      <c r="L20" s="40"/>
      <c r="M20" s="40"/>
      <c r="N20" s="40"/>
      <c r="O20" s="40"/>
      <c r="P20" s="40"/>
      <c r="Q20" s="38"/>
      <c r="R20" s="33">
        <f t="shared" si="0"/>
        <v>0</v>
      </c>
      <c r="S20" s="533"/>
      <c r="T20" s="537"/>
      <c r="U20" s="32"/>
    </row>
    <row r="21" spans="1:23" ht="24" customHeight="1">
      <c r="A21" s="515">
        <v>2</v>
      </c>
      <c r="B21" s="517" t="s">
        <v>245</v>
      </c>
      <c r="C21" s="378" t="s">
        <v>31</v>
      </c>
      <c r="D21" s="69" t="s">
        <v>82</v>
      </c>
      <c r="E21" s="30">
        <v>31</v>
      </c>
      <c r="F21" s="30">
        <v>28</v>
      </c>
      <c r="G21" s="30">
        <v>30</v>
      </c>
      <c r="H21" s="30">
        <v>30</v>
      </c>
      <c r="I21" s="30">
        <v>30</v>
      </c>
      <c r="J21" s="30">
        <v>30</v>
      </c>
      <c r="K21" s="30">
        <v>30</v>
      </c>
      <c r="L21" s="30">
        <v>31</v>
      </c>
      <c r="M21" s="30">
        <v>30</v>
      </c>
      <c r="N21" s="30">
        <v>30</v>
      </c>
      <c r="O21" s="30">
        <v>30</v>
      </c>
      <c r="P21" s="30">
        <v>30</v>
      </c>
      <c r="Q21" s="521">
        <v>7836</v>
      </c>
      <c r="R21" s="39">
        <f t="shared" si="0"/>
        <v>360</v>
      </c>
      <c r="S21" s="538" t="s">
        <v>96</v>
      </c>
      <c r="T21" s="539" t="s">
        <v>78</v>
      </c>
      <c r="U21" s="32">
        <v>11906258.23</v>
      </c>
      <c r="W21" s="34">
        <f>R22-U21</f>
        <v>-2071818.1700000018</v>
      </c>
    </row>
    <row r="22" spans="1:23" ht="24.75" customHeight="1">
      <c r="A22" s="515"/>
      <c r="B22" s="517"/>
      <c r="C22" s="378"/>
      <c r="D22" s="69" t="s">
        <v>79</v>
      </c>
      <c r="E22" s="82">
        <v>820711.63000000012</v>
      </c>
      <c r="F22" s="82">
        <v>822611.63000000012</v>
      </c>
      <c r="G22" s="82">
        <v>804711.63000000012</v>
      </c>
      <c r="H22" s="82">
        <v>804211.63000000012</v>
      </c>
      <c r="I22" s="82">
        <v>875611.63000000012</v>
      </c>
      <c r="J22" s="82">
        <v>804911.63000000012</v>
      </c>
      <c r="K22" s="82">
        <v>820711.63000000012</v>
      </c>
      <c r="L22" s="82">
        <v>866111.63000000012</v>
      </c>
      <c r="M22" s="82">
        <v>804711.63000000012</v>
      </c>
      <c r="N22" s="82">
        <v>800211.63000000012</v>
      </c>
      <c r="O22" s="82">
        <v>804711.63000000012</v>
      </c>
      <c r="P22" s="82">
        <v>805212.12999999989</v>
      </c>
      <c r="Q22" s="521"/>
      <c r="R22" s="33">
        <f t="shared" si="0"/>
        <v>9834440.0599999987</v>
      </c>
      <c r="S22" s="538"/>
      <c r="T22" s="539"/>
      <c r="U22" s="32"/>
    </row>
    <row r="23" spans="1:23" ht="24" customHeight="1">
      <c r="A23" s="515"/>
      <c r="B23" s="517"/>
      <c r="C23" s="527" t="s">
        <v>45</v>
      </c>
      <c r="D23" s="35" t="str">
        <f>D21</f>
        <v>Reportes</v>
      </c>
      <c r="E23" s="41"/>
      <c r="F23" s="41"/>
      <c r="G23" s="41"/>
      <c r="H23" s="41"/>
      <c r="I23" s="41"/>
      <c r="J23" s="41"/>
      <c r="K23" s="41"/>
      <c r="L23" s="41"/>
      <c r="M23" s="41"/>
      <c r="N23" s="41"/>
      <c r="O23" s="41"/>
      <c r="P23" s="41"/>
      <c r="Q23" s="42"/>
      <c r="R23" s="39">
        <f>SUM(E23:P23)</f>
        <v>0</v>
      </c>
      <c r="S23" s="532">
        <f>R23/R21</f>
        <v>0</v>
      </c>
      <c r="T23" s="536">
        <f>R24/R22</f>
        <v>0</v>
      </c>
      <c r="U23" s="32"/>
    </row>
    <row r="24" spans="1:23" ht="22.5" customHeight="1">
      <c r="A24" s="515"/>
      <c r="B24" s="517"/>
      <c r="C24" s="527"/>
      <c r="D24" s="35" t="str">
        <f>D22</f>
        <v>Monto</v>
      </c>
      <c r="E24" s="40"/>
      <c r="F24" s="40"/>
      <c r="G24" s="40"/>
      <c r="H24" s="40"/>
      <c r="I24" s="40"/>
      <c r="J24" s="40"/>
      <c r="K24" s="40"/>
      <c r="L24" s="40"/>
      <c r="M24" s="40"/>
      <c r="N24" s="40"/>
      <c r="O24" s="40"/>
      <c r="P24" s="40"/>
      <c r="Q24" s="42"/>
      <c r="R24" s="33">
        <f t="shared" si="0"/>
        <v>0</v>
      </c>
      <c r="S24" s="533"/>
      <c r="T24" s="537"/>
      <c r="U24" s="32"/>
    </row>
    <row r="25" spans="1:23" ht="27" customHeight="1">
      <c r="A25" s="515">
        <v>3</v>
      </c>
      <c r="B25" s="517" t="s">
        <v>6</v>
      </c>
      <c r="C25" s="378" t="s">
        <v>31</v>
      </c>
      <c r="D25" s="69" t="s">
        <v>91</v>
      </c>
      <c r="E25" s="30">
        <v>400</v>
      </c>
      <c r="F25" s="30">
        <v>450</v>
      </c>
      <c r="G25" s="30">
        <v>450</v>
      </c>
      <c r="H25" s="30">
        <v>450</v>
      </c>
      <c r="I25" s="30">
        <v>450</v>
      </c>
      <c r="J25" s="30">
        <v>450</v>
      </c>
      <c r="K25" s="30">
        <v>500</v>
      </c>
      <c r="L25" s="30">
        <v>500</v>
      </c>
      <c r="M25" s="30">
        <v>500</v>
      </c>
      <c r="N25" s="30">
        <v>500</v>
      </c>
      <c r="O25" s="30">
        <v>600</v>
      </c>
      <c r="P25" s="30">
        <v>600</v>
      </c>
      <c r="Q25" s="521">
        <v>7836</v>
      </c>
      <c r="R25" s="39">
        <f t="shared" si="0"/>
        <v>5850</v>
      </c>
      <c r="S25" s="538" t="s">
        <v>97</v>
      </c>
      <c r="T25" s="539" t="s">
        <v>78</v>
      </c>
      <c r="U25" s="32">
        <v>5066052.5600000005</v>
      </c>
      <c r="W25" s="34">
        <f>R26-U25</f>
        <v>-2457119.0200000005</v>
      </c>
    </row>
    <row r="26" spans="1:23" ht="27" customHeight="1">
      <c r="A26" s="515"/>
      <c r="B26" s="517"/>
      <c r="C26" s="378"/>
      <c r="D26" s="69" t="s">
        <v>79</v>
      </c>
      <c r="E26" s="86">
        <v>213536.07</v>
      </c>
      <c r="F26" s="86">
        <v>213536.07</v>
      </c>
      <c r="G26" s="86">
        <v>213536.07</v>
      </c>
      <c r="H26" s="86">
        <v>213536.07</v>
      </c>
      <c r="I26" s="86">
        <v>238736.07</v>
      </c>
      <c r="J26" s="86">
        <v>214736.07</v>
      </c>
      <c r="K26" s="86">
        <v>213536.07</v>
      </c>
      <c r="L26" s="86">
        <v>233636.07</v>
      </c>
      <c r="M26" s="86">
        <v>213536.07</v>
      </c>
      <c r="N26" s="86">
        <v>213536.07</v>
      </c>
      <c r="O26" s="86">
        <v>213536.07</v>
      </c>
      <c r="P26" s="86">
        <v>213536.77000000005</v>
      </c>
      <c r="Q26" s="521"/>
      <c r="R26" s="33">
        <f t="shared" si="0"/>
        <v>2608933.54</v>
      </c>
      <c r="S26" s="538"/>
      <c r="T26" s="539"/>
      <c r="U26" s="32"/>
    </row>
    <row r="27" spans="1:23" ht="27" customHeight="1">
      <c r="A27" s="515"/>
      <c r="B27" s="517"/>
      <c r="C27" s="527" t="s">
        <v>45</v>
      </c>
      <c r="D27" s="35" t="str">
        <f>D25</f>
        <v>Polizas</v>
      </c>
      <c r="E27" s="41"/>
      <c r="F27" s="41"/>
      <c r="G27" s="41"/>
      <c r="H27" s="41"/>
      <c r="I27" s="41"/>
      <c r="J27" s="41"/>
      <c r="K27" s="41"/>
      <c r="L27" s="41"/>
      <c r="M27" s="41"/>
      <c r="N27" s="41"/>
      <c r="O27" s="41"/>
      <c r="P27" s="41"/>
      <c r="Q27" s="42"/>
      <c r="R27" s="39">
        <f t="shared" si="0"/>
        <v>0</v>
      </c>
      <c r="S27" s="532">
        <f>R27/R25</f>
        <v>0</v>
      </c>
      <c r="T27" s="536">
        <f>R28/R26</f>
        <v>0</v>
      </c>
      <c r="U27" s="32"/>
    </row>
    <row r="28" spans="1:23" ht="27" customHeight="1">
      <c r="A28" s="515"/>
      <c r="B28" s="517"/>
      <c r="C28" s="527"/>
      <c r="D28" s="35" t="str">
        <f>D26</f>
        <v>Monto</v>
      </c>
      <c r="E28" s="40"/>
      <c r="F28" s="40"/>
      <c r="G28" s="40"/>
      <c r="H28" s="40"/>
      <c r="I28" s="40"/>
      <c r="J28" s="40"/>
      <c r="K28" s="40"/>
      <c r="L28" s="40"/>
      <c r="M28" s="40"/>
      <c r="N28" s="40"/>
      <c r="O28" s="40"/>
      <c r="P28" s="40"/>
      <c r="Q28" s="42"/>
      <c r="R28" s="33">
        <f t="shared" si="0"/>
        <v>0</v>
      </c>
      <c r="S28" s="533"/>
      <c r="T28" s="537"/>
      <c r="U28" s="32"/>
    </row>
    <row r="29" spans="1:23" ht="27" customHeight="1">
      <c r="A29" s="515">
        <v>4</v>
      </c>
      <c r="B29" s="517" t="s">
        <v>60</v>
      </c>
      <c r="C29" s="378" t="s">
        <v>31</v>
      </c>
      <c r="D29" s="69" t="s">
        <v>92</v>
      </c>
      <c r="E29" s="30">
        <v>55</v>
      </c>
      <c r="F29" s="30">
        <v>55</v>
      </c>
      <c r="G29" s="30">
        <v>55</v>
      </c>
      <c r="H29" s="30">
        <v>55</v>
      </c>
      <c r="I29" s="30">
        <v>55</v>
      </c>
      <c r="J29" s="30">
        <v>55</v>
      </c>
      <c r="K29" s="30">
        <v>55</v>
      </c>
      <c r="L29" s="30">
        <v>55</v>
      </c>
      <c r="M29" s="30">
        <v>55</v>
      </c>
      <c r="N29" s="30">
        <v>55</v>
      </c>
      <c r="O29" s="30">
        <v>55</v>
      </c>
      <c r="P29" s="30">
        <v>55</v>
      </c>
      <c r="Q29" s="521">
        <v>7836</v>
      </c>
      <c r="R29" s="39">
        <f t="shared" si="0"/>
        <v>660</v>
      </c>
      <c r="S29" s="538" t="s">
        <v>98</v>
      </c>
      <c r="T29" s="539" t="s">
        <v>78</v>
      </c>
      <c r="U29" s="32">
        <v>927612.63</v>
      </c>
      <c r="W29" s="34">
        <f>R30-U29</f>
        <v>-876420.63</v>
      </c>
    </row>
    <row r="30" spans="1:23" ht="23.25" customHeight="1">
      <c r="A30" s="515"/>
      <c r="B30" s="517"/>
      <c r="C30" s="378"/>
      <c r="D30" s="69" t="s">
        <v>79</v>
      </c>
      <c r="E30" s="86">
        <v>4716</v>
      </c>
      <c r="F30" s="86">
        <v>3916</v>
      </c>
      <c r="G30" s="86">
        <v>4716</v>
      </c>
      <c r="H30" s="86">
        <v>3916</v>
      </c>
      <c r="I30" s="86">
        <v>3716</v>
      </c>
      <c r="J30" s="86">
        <v>3716</v>
      </c>
      <c r="K30" s="86">
        <v>4716</v>
      </c>
      <c r="L30" s="86">
        <v>4916</v>
      </c>
      <c r="M30" s="86">
        <v>3716</v>
      </c>
      <c r="N30" s="86">
        <v>3716</v>
      </c>
      <c r="O30" s="86">
        <v>3716</v>
      </c>
      <c r="P30" s="86">
        <v>5716</v>
      </c>
      <c r="Q30" s="521"/>
      <c r="R30" s="33">
        <f t="shared" si="0"/>
        <v>51192</v>
      </c>
      <c r="S30" s="538"/>
      <c r="T30" s="539"/>
      <c r="U30" s="32"/>
    </row>
    <row r="31" spans="1:23" ht="22.5" customHeight="1">
      <c r="A31" s="515"/>
      <c r="B31" s="517"/>
      <c r="C31" s="527" t="s">
        <v>45</v>
      </c>
      <c r="D31" s="35" t="str">
        <f>D29</f>
        <v>Conciliaciones Bancarias</v>
      </c>
      <c r="E31" s="43"/>
      <c r="F31" s="43"/>
      <c r="G31" s="41"/>
      <c r="H31" s="44"/>
      <c r="I31" s="41"/>
      <c r="J31" s="41"/>
      <c r="K31" s="41"/>
      <c r="L31" s="41"/>
      <c r="M31" s="41"/>
      <c r="N31" s="41"/>
      <c r="O31" s="41"/>
      <c r="P31" s="43"/>
      <c r="Q31" s="42"/>
      <c r="R31" s="39">
        <f t="shared" si="0"/>
        <v>0</v>
      </c>
      <c r="S31" s="532">
        <f>R31/R29</f>
        <v>0</v>
      </c>
      <c r="T31" s="536">
        <f>R32/R30</f>
        <v>0</v>
      </c>
      <c r="U31" s="32"/>
    </row>
    <row r="32" spans="1:23" ht="19.5" customHeight="1">
      <c r="A32" s="515"/>
      <c r="B32" s="517"/>
      <c r="C32" s="527"/>
      <c r="D32" s="35" t="s">
        <v>79</v>
      </c>
      <c r="E32" s="40"/>
      <c r="F32" s="40"/>
      <c r="G32" s="40"/>
      <c r="H32" s="40"/>
      <c r="I32" s="40"/>
      <c r="J32" s="40"/>
      <c r="K32" s="40"/>
      <c r="L32" s="40"/>
      <c r="M32" s="40"/>
      <c r="N32" s="40"/>
      <c r="O32" s="40"/>
      <c r="P32" s="40"/>
      <c r="Q32" s="42"/>
      <c r="R32" s="33">
        <f t="shared" si="0"/>
        <v>0</v>
      </c>
      <c r="S32" s="533"/>
      <c r="T32" s="537"/>
      <c r="U32" s="32"/>
    </row>
    <row r="33" spans="1:23" ht="28.5" customHeight="1">
      <c r="A33" s="388">
        <v>5</v>
      </c>
      <c r="B33" s="564" t="s">
        <v>243</v>
      </c>
      <c r="C33" s="378" t="s">
        <v>31</v>
      </c>
      <c r="D33" s="69" t="s">
        <v>3</v>
      </c>
      <c r="E33" s="30">
        <v>1</v>
      </c>
      <c r="F33" s="30">
        <v>1</v>
      </c>
      <c r="G33" s="30">
        <v>1</v>
      </c>
      <c r="H33" s="30">
        <v>1</v>
      </c>
      <c r="I33" s="30">
        <v>1</v>
      </c>
      <c r="J33" s="30">
        <v>1</v>
      </c>
      <c r="K33" s="30">
        <v>1</v>
      </c>
      <c r="L33" s="30">
        <v>1</v>
      </c>
      <c r="M33" s="30">
        <v>1</v>
      </c>
      <c r="N33" s="30">
        <v>1</v>
      </c>
      <c r="O33" s="30">
        <v>1</v>
      </c>
      <c r="P33" s="30">
        <v>1</v>
      </c>
      <c r="Q33" s="521">
        <v>7836</v>
      </c>
      <c r="R33" s="39">
        <f t="shared" si="0"/>
        <v>12</v>
      </c>
      <c r="S33" s="538" t="s">
        <v>81</v>
      </c>
      <c r="T33" s="539" t="s">
        <v>78</v>
      </c>
      <c r="U33" s="32">
        <v>8661256.75</v>
      </c>
      <c r="W33" s="34">
        <f>R34-U33</f>
        <v>-3059274.1599999974</v>
      </c>
    </row>
    <row r="34" spans="1:23" ht="19.5" customHeight="1">
      <c r="A34" s="388"/>
      <c r="B34" s="564"/>
      <c r="C34" s="378"/>
      <c r="D34" s="69" t="s">
        <v>79</v>
      </c>
      <c r="E34" s="86">
        <v>461444.32000000018</v>
      </c>
      <c r="F34" s="86">
        <v>461444.32000000018</v>
      </c>
      <c r="G34" s="86">
        <v>461444.32000000018</v>
      </c>
      <c r="H34" s="86">
        <v>461444.32000000018</v>
      </c>
      <c r="I34" s="86">
        <v>482444.32000000018</v>
      </c>
      <c r="J34" s="86">
        <v>468644.32000000018</v>
      </c>
      <c r="K34" s="86">
        <v>461444.32000000018</v>
      </c>
      <c r="L34" s="86">
        <v>497894.32000000018</v>
      </c>
      <c r="M34" s="86">
        <v>461444.32000000018</v>
      </c>
      <c r="N34" s="86">
        <v>461444.32000000018</v>
      </c>
      <c r="O34" s="86">
        <v>461444.32000000018</v>
      </c>
      <c r="P34" s="86">
        <v>461445.07000000012</v>
      </c>
      <c r="Q34" s="521"/>
      <c r="R34" s="33">
        <f t="shared" si="0"/>
        <v>5601982.5900000026</v>
      </c>
      <c r="S34" s="538"/>
      <c r="T34" s="539"/>
      <c r="U34" s="32"/>
    </row>
    <row r="35" spans="1:23" ht="24.75" customHeight="1">
      <c r="A35" s="388"/>
      <c r="B35" s="564"/>
      <c r="C35" s="527" t="s">
        <v>45</v>
      </c>
      <c r="D35" s="35" t="str">
        <f>D33</f>
        <v>Estados Financieros</v>
      </c>
      <c r="E35" s="41"/>
      <c r="F35" s="41"/>
      <c r="G35" s="41"/>
      <c r="H35" s="41"/>
      <c r="I35" s="41"/>
      <c r="J35" s="41"/>
      <c r="K35" s="41"/>
      <c r="L35" s="41"/>
      <c r="M35" s="41"/>
      <c r="N35" s="41"/>
      <c r="O35" s="41"/>
      <c r="P35" s="41"/>
      <c r="Q35" s="42"/>
      <c r="R35" s="39">
        <f t="shared" si="0"/>
        <v>0</v>
      </c>
      <c r="S35" s="540">
        <f>R35/R33</f>
        <v>0</v>
      </c>
      <c r="T35" s="541">
        <f>R36/R34</f>
        <v>0</v>
      </c>
      <c r="U35" s="32"/>
    </row>
    <row r="36" spans="1:23" ht="21.75" customHeight="1">
      <c r="A36" s="388"/>
      <c r="B36" s="564"/>
      <c r="C36" s="527"/>
      <c r="D36" s="35" t="s">
        <v>79</v>
      </c>
      <c r="E36" s="40"/>
      <c r="F36" s="40"/>
      <c r="G36" s="40"/>
      <c r="H36" s="40"/>
      <c r="I36" s="40"/>
      <c r="J36" s="40"/>
      <c r="K36" s="40"/>
      <c r="L36" s="40"/>
      <c r="M36" s="40"/>
      <c r="N36" s="40"/>
      <c r="O36" s="40"/>
      <c r="P36" s="40"/>
      <c r="Q36" s="42"/>
      <c r="R36" s="33">
        <f t="shared" si="0"/>
        <v>0</v>
      </c>
      <c r="S36" s="540"/>
      <c r="T36" s="541"/>
      <c r="U36" s="32"/>
    </row>
    <row r="37" spans="1:23" ht="31.5" customHeight="1">
      <c r="A37" s="515">
        <v>6</v>
      </c>
      <c r="B37" s="564" t="s">
        <v>244</v>
      </c>
      <c r="C37" s="565" t="s">
        <v>31</v>
      </c>
      <c r="D37" s="69" t="s">
        <v>93</v>
      </c>
      <c r="E37" s="30"/>
      <c r="F37" s="30"/>
      <c r="G37" s="30">
        <v>1</v>
      </c>
      <c r="H37" s="30"/>
      <c r="I37" s="30"/>
      <c r="J37" s="30">
        <v>1</v>
      </c>
      <c r="K37" s="30"/>
      <c r="L37" s="30"/>
      <c r="M37" s="30">
        <v>1</v>
      </c>
      <c r="N37" s="30"/>
      <c r="O37" s="30"/>
      <c r="P37" s="30">
        <v>1</v>
      </c>
      <c r="Q37" s="521">
        <v>991150</v>
      </c>
      <c r="R37" s="39">
        <f t="shared" si="0"/>
        <v>4</v>
      </c>
      <c r="S37" s="538" t="s">
        <v>99</v>
      </c>
      <c r="T37" s="539" t="s">
        <v>78</v>
      </c>
      <c r="U37" s="32">
        <v>2002275.53</v>
      </c>
      <c r="W37" s="34">
        <f>R38-U37</f>
        <v>-1763317.53</v>
      </c>
    </row>
    <row r="38" spans="1:23" ht="30.75" customHeight="1">
      <c r="A38" s="515"/>
      <c r="B38" s="564"/>
      <c r="C38" s="518"/>
      <c r="D38" s="69" t="s">
        <v>79</v>
      </c>
      <c r="E38" s="86"/>
      <c r="F38" s="86"/>
      <c r="G38" s="86">
        <v>111752</v>
      </c>
      <c r="H38" s="86"/>
      <c r="I38" s="86"/>
      <c r="J38" s="86">
        <v>46602</v>
      </c>
      <c r="K38" s="86"/>
      <c r="L38" s="86"/>
      <c r="M38" s="86">
        <v>39802</v>
      </c>
      <c r="N38" s="86"/>
      <c r="O38" s="86"/>
      <c r="P38" s="86">
        <v>40802</v>
      </c>
      <c r="Q38" s="521"/>
      <c r="R38" s="33">
        <f t="shared" si="0"/>
        <v>238958</v>
      </c>
      <c r="S38" s="538"/>
      <c r="T38" s="539"/>
      <c r="U38" s="32"/>
    </row>
    <row r="39" spans="1:23" ht="27" customHeight="1">
      <c r="A39" s="515"/>
      <c r="B39" s="564"/>
      <c r="C39" s="527" t="s">
        <v>45</v>
      </c>
      <c r="D39" s="35" t="str">
        <f>D37</f>
        <v>Publicacion</v>
      </c>
      <c r="E39" s="41"/>
      <c r="F39" s="41"/>
      <c r="G39" s="41"/>
      <c r="H39" s="45"/>
      <c r="I39" s="45"/>
      <c r="J39" s="45"/>
      <c r="K39" s="41"/>
      <c r="L39" s="41"/>
      <c r="M39" s="41"/>
      <c r="N39" s="41"/>
      <c r="O39" s="41"/>
      <c r="P39" s="43"/>
      <c r="Q39" s="42"/>
      <c r="R39" s="39">
        <f t="shared" si="0"/>
        <v>0</v>
      </c>
      <c r="S39" s="532">
        <f>R39/R37</f>
        <v>0</v>
      </c>
      <c r="T39" s="536">
        <f>R40/R38</f>
        <v>0</v>
      </c>
      <c r="U39" s="32"/>
    </row>
    <row r="40" spans="1:23" ht="43.5" customHeight="1">
      <c r="A40" s="515"/>
      <c r="B40" s="564"/>
      <c r="C40" s="527"/>
      <c r="D40" s="35" t="s">
        <v>79</v>
      </c>
      <c r="E40" s="40"/>
      <c r="F40" s="40"/>
      <c r="G40" s="40"/>
      <c r="H40" s="40"/>
      <c r="I40" s="40"/>
      <c r="J40" s="40"/>
      <c r="K40" s="40"/>
      <c r="L40" s="40"/>
      <c r="M40" s="40"/>
      <c r="N40" s="40"/>
      <c r="O40" s="40"/>
      <c r="P40" s="40"/>
      <c r="Q40" s="42"/>
      <c r="R40" s="33">
        <f t="shared" si="0"/>
        <v>0</v>
      </c>
      <c r="S40" s="533"/>
      <c r="T40" s="537"/>
      <c r="U40" s="32"/>
    </row>
    <row r="41" spans="1:23" ht="31.5" customHeight="1">
      <c r="A41" s="515">
        <v>7</v>
      </c>
      <c r="B41" s="517" t="s">
        <v>7</v>
      </c>
      <c r="C41" s="565" t="s">
        <v>31</v>
      </c>
      <c r="D41" s="69" t="s">
        <v>83</v>
      </c>
      <c r="E41" s="30">
        <v>15</v>
      </c>
      <c r="F41" s="30">
        <v>12</v>
      </c>
      <c r="G41" s="30">
        <v>14</v>
      </c>
      <c r="H41" s="30">
        <v>14</v>
      </c>
      <c r="I41" s="30">
        <v>13</v>
      </c>
      <c r="J41" s="30">
        <v>14</v>
      </c>
      <c r="K41" s="30">
        <v>15</v>
      </c>
      <c r="L41" s="30">
        <v>12</v>
      </c>
      <c r="M41" s="30">
        <v>14</v>
      </c>
      <c r="N41" s="30">
        <v>14</v>
      </c>
      <c r="O41" s="30">
        <v>12</v>
      </c>
      <c r="P41" s="30">
        <v>16</v>
      </c>
      <c r="Q41" s="521">
        <v>7836</v>
      </c>
      <c r="R41" s="39">
        <f t="shared" si="0"/>
        <v>165</v>
      </c>
      <c r="S41" s="538" t="s">
        <v>8</v>
      </c>
      <c r="T41" s="539" t="s">
        <v>78</v>
      </c>
      <c r="U41" s="32">
        <v>2461171.9199999995</v>
      </c>
      <c r="W41" s="34">
        <f>R42-U41</f>
        <v>-465096.22999999928</v>
      </c>
    </row>
    <row r="42" spans="1:23" ht="35.25" customHeight="1">
      <c r="A42" s="515"/>
      <c r="B42" s="517"/>
      <c r="C42" s="518"/>
      <c r="D42" s="69" t="s">
        <v>79</v>
      </c>
      <c r="E42" s="86">
        <v>166039.59999999998</v>
      </c>
      <c r="F42" s="86">
        <v>166039.59999999998</v>
      </c>
      <c r="G42" s="86">
        <v>166039.59999999998</v>
      </c>
      <c r="H42" s="86">
        <v>166039.59999999998</v>
      </c>
      <c r="I42" s="86">
        <v>166039.59999999998</v>
      </c>
      <c r="J42" s="86">
        <v>167239.59999999998</v>
      </c>
      <c r="K42" s="86">
        <v>166039.59999999998</v>
      </c>
      <c r="L42" s="86">
        <v>168439.59999999998</v>
      </c>
      <c r="M42" s="86">
        <v>166039.59999999998</v>
      </c>
      <c r="N42" s="86">
        <v>166039.59999999998</v>
      </c>
      <c r="O42" s="86">
        <v>166039.59999999998</v>
      </c>
      <c r="P42" s="86">
        <v>166040.09000000005</v>
      </c>
      <c r="Q42" s="521"/>
      <c r="R42" s="33">
        <f t="shared" si="0"/>
        <v>1996075.6900000002</v>
      </c>
      <c r="S42" s="538"/>
      <c r="T42" s="539"/>
      <c r="U42" s="32"/>
    </row>
    <row r="43" spans="1:23" ht="27" customHeight="1">
      <c r="A43" s="515"/>
      <c r="B43" s="517"/>
      <c r="C43" s="566" t="s">
        <v>45</v>
      </c>
      <c r="D43" s="35" t="s">
        <v>83</v>
      </c>
      <c r="E43" s="41"/>
      <c r="F43" s="41"/>
      <c r="G43" s="41"/>
      <c r="H43" s="41"/>
      <c r="I43" s="41"/>
      <c r="J43" s="41"/>
      <c r="K43" s="41"/>
      <c r="L43" s="41"/>
      <c r="M43" s="41"/>
      <c r="N43" s="41"/>
      <c r="O43" s="41"/>
      <c r="P43" s="41"/>
      <c r="Q43" s="42"/>
      <c r="R43" s="39">
        <f t="shared" si="0"/>
        <v>0</v>
      </c>
      <c r="S43" s="532">
        <f>R43/R41</f>
        <v>0</v>
      </c>
      <c r="T43" s="536">
        <f>R44/R42</f>
        <v>0</v>
      </c>
      <c r="U43" s="32"/>
    </row>
    <row r="44" spans="1:23" ht="64.5" customHeight="1">
      <c r="A44" s="515"/>
      <c r="B44" s="517"/>
      <c r="C44" s="567"/>
      <c r="D44" s="35" t="s">
        <v>79</v>
      </c>
      <c r="E44" s="40"/>
      <c r="F44" s="40"/>
      <c r="G44" s="40"/>
      <c r="H44" s="40"/>
      <c r="I44" s="40"/>
      <c r="J44" s="40"/>
      <c r="K44" s="40"/>
      <c r="L44" s="40"/>
      <c r="M44" s="40"/>
      <c r="N44" s="40"/>
      <c r="O44" s="40"/>
      <c r="P44" s="40"/>
      <c r="Q44" s="42"/>
      <c r="R44" s="33">
        <f t="shared" si="0"/>
        <v>0</v>
      </c>
      <c r="S44" s="533"/>
      <c r="T44" s="537"/>
      <c r="U44" s="32"/>
    </row>
    <row r="45" spans="1:23" ht="39.75" customHeight="1">
      <c r="A45" s="515">
        <v>8</v>
      </c>
      <c r="B45" s="517" t="s">
        <v>4</v>
      </c>
      <c r="C45" s="565" t="s">
        <v>31</v>
      </c>
      <c r="D45" s="69" t="s">
        <v>82</v>
      </c>
      <c r="E45" s="30">
        <v>16</v>
      </c>
      <c r="F45" s="30">
        <v>9</v>
      </c>
      <c r="G45" s="30">
        <v>14</v>
      </c>
      <c r="H45" s="30">
        <v>9</v>
      </c>
      <c r="I45" s="30">
        <v>9</v>
      </c>
      <c r="J45" s="30">
        <v>14</v>
      </c>
      <c r="K45" s="30">
        <v>9</v>
      </c>
      <c r="L45" s="30">
        <v>9</v>
      </c>
      <c r="M45" s="30">
        <v>14</v>
      </c>
      <c r="N45" s="30">
        <v>9</v>
      </c>
      <c r="O45" s="30">
        <v>9</v>
      </c>
      <c r="P45" s="30">
        <v>14</v>
      </c>
      <c r="Q45" s="521">
        <v>7836</v>
      </c>
      <c r="R45" s="39">
        <f t="shared" si="0"/>
        <v>135</v>
      </c>
      <c r="S45" s="538" t="s">
        <v>5</v>
      </c>
      <c r="T45" s="539" t="s">
        <v>78</v>
      </c>
      <c r="U45" s="32"/>
    </row>
    <row r="46" spans="1:23" ht="28.5" customHeight="1">
      <c r="A46" s="515"/>
      <c r="B46" s="517"/>
      <c r="C46" s="518"/>
      <c r="D46" s="69" t="s">
        <v>79</v>
      </c>
      <c r="E46" s="86">
        <v>72641.180000000008</v>
      </c>
      <c r="F46" s="86">
        <v>72641.180000000008</v>
      </c>
      <c r="G46" s="86">
        <v>72641.180000000008</v>
      </c>
      <c r="H46" s="86">
        <v>72641.180000000008</v>
      </c>
      <c r="I46" s="86">
        <v>89441.180000000008</v>
      </c>
      <c r="J46" s="86">
        <v>72641.180000000008</v>
      </c>
      <c r="K46" s="86">
        <v>72641.180000000008</v>
      </c>
      <c r="L46" s="86">
        <v>84641.180000000008</v>
      </c>
      <c r="M46" s="86">
        <v>72641.180000000008</v>
      </c>
      <c r="N46" s="86">
        <v>72641.180000000008</v>
      </c>
      <c r="O46" s="86">
        <v>72641.180000000008</v>
      </c>
      <c r="P46" s="86">
        <v>72641.77</v>
      </c>
      <c r="Q46" s="521"/>
      <c r="R46" s="33">
        <f t="shared" si="0"/>
        <v>900494.75000000023</v>
      </c>
      <c r="S46" s="538"/>
      <c r="T46" s="539"/>
      <c r="U46" s="32">
        <v>37590670.720000006</v>
      </c>
      <c r="W46" s="34">
        <f>R46-U46</f>
        <v>-36690175.970000006</v>
      </c>
    </row>
    <row r="47" spans="1:23" ht="27" customHeight="1">
      <c r="A47" s="515"/>
      <c r="B47" s="517"/>
      <c r="C47" s="527" t="s">
        <v>45</v>
      </c>
      <c r="D47" s="35" t="str">
        <f>D45</f>
        <v>Reportes</v>
      </c>
      <c r="E47" s="41"/>
      <c r="F47" s="41"/>
      <c r="G47" s="41"/>
      <c r="H47" s="41"/>
      <c r="I47" s="41"/>
      <c r="J47" s="41"/>
      <c r="K47" s="41"/>
      <c r="L47" s="41"/>
      <c r="M47" s="41"/>
      <c r="N47" s="41"/>
      <c r="O47" s="41"/>
      <c r="P47" s="41"/>
      <c r="Q47" s="42"/>
      <c r="R47" s="39">
        <f t="shared" si="0"/>
        <v>0</v>
      </c>
      <c r="S47" s="532">
        <f>R47/R45</f>
        <v>0</v>
      </c>
      <c r="T47" s="536">
        <f>R48/R46</f>
        <v>0</v>
      </c>
      <c r="U47" s="32"/>
    </row>
    <row r="48" spans="1:23" ht="27" customHeight="1">
      <c r="A48" s="515"/>
      <c r="B48" s="517"/>
      <c r="C48" s="527"/>
      <c r="D48" s="35" t="str">
        <f>D46</f>
        <v>Monto</v>
      </c>
      <c r="E48" s="40"/>
      <c r="F48" s="40"/>
      <c r="G48" s="40"/>
      <c r="H48" s="40"/>
      <c r="I48" s="40"/>
      <c r="J48" s="40"/>
      <c r="K48" s="40"/>
      <c r="L48" s="40"/>
      <c r="M48" s="40"/>
      <c r="N48" s="40"/>
      <c r="O48" s="40"/>
      <c r="P48" s="40"/>
      <c r="Q48" s="42"/>
      <c r="R48" s="33">
        <f t="shared" si="0"/>
        <v>0</v>
      </c>
      <c r="S48" s="533"/>
      <c r="T48" s="537"/>
      <c r="U48" s="32"/>
    </row>
    <row r="49" spans="1:23" ht="33.75" customHeight="1">
      <c r="A49" s="515">
        <v>9</v>
      </c>
      <c r="B49" s="517" t="s">
        <v>49</v>
      </c>
      <c r="C49" s="565" t="s">
        <v>31</v>
      </c>
      <c r="D49" s="69" t="s">
        <v>93</v>
      </c>
      <c r="E49" s="30"/>
      <c r="F49" s="30"/>
      <c r="G49" s="30">
        <v>1</v>
      </c>
      <c r="H49" s="30"/>
      <c r="I49" s="30"/>
      <c r="J49" s="30">
        <v>1</v>
      </c>
      <c r="K49" s="30"/>
      <c r="L49" s="30"/>
      <c r="M49" s="30">
        <v>1</v>
      </c>
      <c r="N49" s="30"/>
      <c r="O49" s="30"/>
      <c r="P49" s="30">
        <v>1</v>
      </c>
      <c r="Q49" s="521">
        <v>7836</v>
      </c>
      <c r="R49" s="39">
        <f t="shared" si="0"/>
        <v>4</v>
      </c>
      <c r="S49" s="538" t="s">
        <v>100</v>
      </c>
      <c r="T49" s="539" t="s">
        <v>78</v>
      </c>
      <c r="U49" s="32">
        <v>2812522.1300000013</v>
      </c>
      <c r="W49" s="34">
        <f>R50-U49</f>
        <v>-2752642.1300000013</v>
      </c>
    </row>
    <row r="50" spans="1:23" ht="31.5" customHeight="1">
      <c r="A50" s="515"/>
      <c r="B50" s="517"/>
      <c r="C50" s="518"/>
      <c r="D50" s="69" t="s">
        <v>79</v>
      </c>
      <c r="E50" s="86"/>
      <c r="F50" s="86"/>
      <c r="G50" s="86">
        <v>31670</v>
      </c>
      <c r="H50" s="86"/>
      <c r="I50" s="86"/>
      <c r="J50" s="86">
        <v>8770</v>
      </c>
      <c r="K50" s="86"/>
      <c r="L50" s="86"/>
      <c r="M50" s="86">
        <v>10770</v>
      </c>
      <c r="N50" s="86"/>
      <c r="O50" s="86"/>
      <c r="P50" s="86">
        <v>8670</v>
      </c>
      <c r="Q50" s="521"/>
      <c r="R50" s="33">
        <f t="shared" si="0"/>
        <v>59880</v>
      </c>
      <c r="S50" s="538"/>
      <c r="T50" s="539"/>
      <c r="U50" s="32"/>
    </row>
    <row r="51" spans="1:23" ht="27" customHeight="1">
      <c r="A51" s="515"/>
      <c r="B51" s="517"/>
      <c r="C51" s="527" t="s">
        <v>45</v>
      </c>
      <c r="D51" s="35" t="str">
        <f>D49</f>
        <v>Publicacion</v>
      </c>
      <c r="E51" s="41"/>
      <c r="F51" s="41"/>
      <c r="G51" s="41"/>
      <c r="H51" s="41"/>
      <c r="I51" s="41"/>
      <c r="J51" s="41"/>
      <c r="K51" s="41"/>
      <c r="L51" s="41"/>
      <c r="M51" s="41"/>
      <c r="N51" s="41"/>
      <c r="O51" s="41"/>
      <c r="P51" s="41"/>
      <c r="Q51" s="42"/>
      <c r="R51" s="39">
        <f t="shared" si="0"/>
        <v>0</v>
      </c>
      <c r="S51" s="532">
        <f>R51/R49</f>
        <v>0</v>
      </c>
      <c r="T51" s="536">
        <f>R52/R50</f>
        <v>0</v>
      </c>
      <c r="U51" s="32"/>
    </row>
    <row r="52" spans="1:23" ht="61.5" customHeight="1">
      <c r="A52" s="515"/>
      <c r="B52" s="517"/>
      <c r="C52" s="527"/>
      <c r="D52" s="35" t="str">
        <f>D50</f>
        <v>Monto</v>
      </c>
      <c r="E52" s="40"/>
      <c r="F52" s="40"/>
      <c r="G52" s="40"/>
      <c r="H52" s="40"/>
      <c r="I52" s="40"/>
      <c r="J52" s="40"/>
      <c r="K52" s="40"/>
      <c r="L52" s="40"/>
      <c r="M52" s="40"/>
      <c r="N52" s="40"/>
      <c r="O52" s="40"/>
      <c r="P52" s="40"/>
      <c r="Q52" s="42"/>
      <c r="R52" s="33">
        <f t="shared" si="0"/>
        <v>0</v>
      </c>
      <c r="S52" s="533"/>
      <c r="T52" s="537"/>
      <c r="U52" s="32"/>
    </row>
    <row r="53" spans="1:23" ht="27" customHeight="1">
      <c r="A53" s="515">
        <v>10</v>
      </c>
      <c r="B53" s="517" t="s">
        <v>9</v>
      </c>
      <c r="C53" s="565" t="s">
        <v>31</v>
      </c>
      <c r="D53" s="69" t="s">
        <v>84</v>
      </c>
      <c r="E53" s="30">
        <v>2</v>
      </c>
      <c r="F53" s="30">
        <v>2</v>
      </c>
      <c r="G53" s="30">
        <v>2</v>
      </c>
      <c r="H53" s="30">
        <v>2</v>
      </c>
      <c r="I53" s="30">
        <v>2</v>
      </c>
      <c r="J53" s="30">
        <v>2</v>
      </c>
      <c r="K53" s="30">
        <v>2</v>
      </c>
      <c r="L53" s="30">
        <v>2</v>
      </c>
      <c r="M53" s="30">
        <v>2</v>
      </c>
      <c r="N53" s="30">
        <v>2</v>
      </c>
      <c r="O53" s="30">
        <v>2</v>
      </c>
      <c r="P53" s="30">
        <v>2</v>
      </c>
      <c r="Q53" s="521">
        <v>7836</v>
      </c>
      <c r="R53" s="39">
        <f>SUM(E53:P53)</f>
        <v>24</v>
      </c>
      <c r="S53" s="538" t="s">
        <v>101</v>
      </c>
      <c r="T53" s="539" t="s">
        <v>78</v>
      </c>
      <c r="U53" s="32">
        <v>20828869.800000004</v>
      </c>
      <c r="W53" s="34">
        <f>R54-U53</f>
        <v>27878876.359999999</v>
      </c>
    </row>
    <row r="54" spans="1:23" ht="27" customHeight="1">
      <c r="A54" s="515"/>
      <c r="B54" s="517"/>
      <c r="C54" s="518"/>
      <c r="D54" s="69" t="s">
        <v>79</v>
      </c>
      <c r="E54" s="86">
        <v>16724206.25</v>
      </c>
      <c r="F54" s="86">
        <v>1731276.2499999998</v>
      </c>
      <c r="G54" s="86">
        <v>1709556.2499999998</v>
      </c>
      <c r="H54" s="86">
        <v>3709706.25</v>
      </c>
      <c r="I54" s="86">
        <v>3753156.25</v>
      </c>
      <c r="J54" s="86">
        <v>3726356.25</v>
      </c>
      <c r="K54" s="86">
        <v>3714206.25</v>
      </c>
      <c r="L54" s="86">
        <v>3800906.25</v>
      </c>
      <c r="M54" s="86">
        <v>3709556.25</v>
      </c>
      <c r="N54" s="86">
        <v>2709706.25</v>
      </c>
      <c r="O54" s="86">
        <v>1709556.2499999998</v>
      </c>
      <c r="P54" s="86">
        <v>1709557.4100000006</v>
      </c>
      <c r="Q54" s="521"/>
      <c r="R54" s="33">
        <f t="shared" si="0"/>
        <v>48707746.160000004</v>
      </c>
      <c r="S54" s="538"/>
      <c r="T54" s="539"/>
      <c r="U54" s="32"/>
    </row>
    <row r="55" spans="1:23" ht="27" customHeight="1">
      <c r="A55" s="515"/>
      <c r="B55" s="517"/>
      <c r="C55" s="527" t="s">
        <v>45</v>
      </c>
      <c r="D55" s="35" t="str">
        <f>D53</f>
        <v>Nominas</v>
      </c>
      <c r="E55" s="45"/>
      <c r="F55" s="45"/>
      <c r="G55" s="45"/>
      <c r="H55" s="45"/>
      <c r="I55" s="45"/>
      <c r="J55" s="45"/>
      <c r="K55" s="45"/>
      <c r="L55" s="45"/>
      <c r="M55" s="45"/>
      <c r="N55" s="45"/>
      <c r="O55" s="45"/>
      <c r="P55" s="45"/>
      <c r="Q55" s="42"/>
      <c r="R55" s="39">
        <f>SUM(E55:P55)</f>
        <v>0</v>
      </c>
      <c r="S55" s="532">
        <f>R55/R53</f>
        <v>0</v>
      </c>
      <c r="T55" s="536">
        <f>R56/R54</f>
        <v>0</v>
      </c>
      <c r="U55" s="32"/>
    </row>
    <row r="56" spans="1:23" ht="27" customHeight="1">
      <c r="A56" s="515"/>
      <c r="B56" s="517"/>
      <c r="C56" s="527"/>
      <c r="D56" s="35" t="str">
        <f>D54</f>
        <v>Monto</v>
      </c>
      <c r="E56" s="40"/>
      <c r="F56" s="40"/>
      <c r="G56" s="40"/>
      <c r="H56" s="40"/>
      <c r="I56" s="40"/>
      <c r="J56" s="40"/>
      <c r="K56" s="40"/>
      <c r="L56" s="40"/>
      <c r="M56" s="40"/>
      <c r="N56" s="40"/>
      <c r="O56" s="40"/>
      <c r="P56" s="40"/>
      <c r="Q56" s="42"/>
      <c r="R56" s="33">
        <f t="shared" si="0"/>
        <v>0</v>
      </c>
      <c r="S56" s="533"/>
      <c r="T56" s="537"/>
      <c r="U56" s="32"/>
    </row>
    <row r="57" spans="1:23" ht="38.25" customHeight="1">
      <c r="A57" s="388">
        <v>11</v>
      </c>
      <c r="B57" s="517" t="s">
        <v>10</v>
      </c>
      <c r="C57" s="378" t="s">
        <v>31</v>
      </c>
      <c r="D57" s="69" t="s">
        <v>85</v>
      </c>
      <c r="E57" s="30">
        <v>500</v>
      </c>
      <c r="F57" s="30">
        <v>500</v>
      </c>
      <c r="G57" s="30">
        <v>500</v>
      </c>
      <c r="H57" s="30">
        <v>500</v>
      </c>
      <c r="I57" s="30">
        <v>500</v>
      </c>
      <c r="J57" s="30">
        <v>500</v>
      </c>
      <c r="K57" s="30">
        <v>500</v>
      </c>
      <c r="L57" s="30">
        <v>500</v>
      </c>
      <c r="M57" s="30">
        <v>500</v>
      </c>
      <c r="N57" s="30">
        <v>500</v>
      </c>
      <c r="O57" s="30">
        <v>500</v>
      </c>
      <c r="P57" s="30">
        <v>500</v>
      </c>
      <c r="Q57" s="521">
        <v>7836</v>
      </c>
      <c r="R57" s="39">
        <f>SUM(E57:P57)</f>
        <v>6000</v>
      </c>
      <c r="S57" s="538" t="s">
        <v>11</v>
      </c>
      <c r="T57" s="539" t="s">
        <v>78</v>
      </c>
      <c r="U57" s="32">
        <v>2155642.1900000004</v>
      </c>
      <c r="W57" s="34">
        <f>R58-U57</f>
        <v>1386200.2799999993</v>
      </c>
    </row>
    <row r="58" spans="1:23" ht="33" customHeight="1">
      <c r="A58" s="388"/>
      <c r="B58" s="517"/>
      <c r="C58" s="378"/>
      <c r="D58" s="69" t="s">
        <v>79</v>
      </c>
      <c r="E58" s="86">
        <v>293440.98</v>
      </c>
      <c r="F58" s="86">
        <v>289940.98</v>
      </c>
      <c r="G58" s="86">
        <v>289940.98</v>
      </c>
      <c r="H58" s="86">
        <v>289940.98</v>
      </c>
      <c r="I58" s="86">
        <v>319840.98</v>
      </c>
      <c r="J58" s="86">
        <v>291140.98</v>
      </c>
      <c r="K58" s="86">
        <v>292440.98</v>
      </c>
      <c r="L58" s="86">
        <v>314890.98</v>
      </c>
      <c r="M58" s="86">
        <v>289940.98</v>
      </c>
      <c r="N58" s="86">
        <v>289940.98</v>
      </c>
      <c r="O58" s="86">
        <v>290440.98</v>
      </c>
      <c r="P58" s="86">
        <v>289941.69</v>
      </c>
      <c r="Q58" s="521"/>
      <c r="R58" s="33">
        <f t="shared" si="0"/>
        <v>3541842.4699999997</v>
      </c>
      <c r="S58" s="538"/>
      <c r="T58" s="539"/>
      <c r="U58" s="32"/>
    </row>
    <row r="59" spans="1:23" ht="27" customHeight="1">
      <c r="A59" s="388"/>
      <c r="B59" s="517"/>
      <c r="C59" s="527" t="s">
        <v>45</v>
      </c>
      <c r="D59" s="35" t="s">
        <v>86</v>
      </c>
      <c r="E59" s="41"/>
      <c r="F59" s="41"/>
      <c r="G59" s="41"/>
      <c r="H59" s="41"/>
      <c r="I59" s="41"/>
      <c r="J59" s="41"/>
      <c r="K59" s="41"/>
      <c r="L59" s="41"/>
      <c r="M59" s="41"/>
      <c r="N59" s="41"/>
      <c r="O59" s="41"/>
      <c r="P59" s="41"/>
      <c r="Q59" s="42"/>
      <c r="R59" s="39">
        <f t="shared" si="0"/>
        <v>0</v>
      </c>
      <c r="S59" s="540">
        <f>R59/R57</f>
        <v>0</v>
      </c>
      <c r="T59" s="541">
        <f>R60/R58</f>
        <v>0</v>
      </c>
      <c r="U59" s="32"/>
    </row>
    <row r="60" spans="1:23" ht="30.75" customHeight="1">
      <c r="A60" s="388"/>
      <c r="B60" s="517"/>
      <c r="C60" s="527"/>
      <c r="D60" s="35" t="s">
        <v>79</v>
      </c>
      <c r="E60" s="40"/>
      <c r="F60" s="40"/>
      <c r="G60" s="40"/>
      <c r="H60" s="40"/>
      <c r="I60" s="40"/>
      <c r="J60" s="40"/>
      <c r="K60" s="40"/>
      <c r="L60" s="40"/>
      <c r="M60" s="40"/>
      <c r="N60" s="40"/>
      <c r="O60" s="40"/>
      <c r="P60" s="40"/>
      <c r="Q60" s="42"/>
      <c r="R60" s="33">
        <f>SUM(E60:P60)</f>
        <v>0</v>
      </c>
      <c r="S60" s="540"/>
      <c r="T60" s="541"/>
      <c r="U60" s="32"/>
    </row>
    <row r="61" spans="1:23" ht="61.5" customHeight="1">
      <c r="A61" s="66"/>
      <c r="B61" s="568" t="s">
        <v>62</v>
      </c>
      <c r="C61" s="378" t="s">
        <v>31</v>
      </c>
      <c r="D61" s="69" t="s">
        <v>80</v>
      </c>
      <c r="E61" s="30">
        <v>10</v>
      </c>
      <c r="F61" s="30">
        <v>10</v>
      </c>
      <c r="G61" s="30">
        <v>10</v>
      </c>
      <c r="H61" s="30">
        <v>10</v>
      </c>
      <c r="I61" s="30">
        <v>10</v>
      </c>
      <c r="J61" s="30">
        <v>10</v>
      </c>
      <c r="K61" s="30">
        <v>10</v>
      </c>
      <c r="L61" s="30">
        <v>10</v>
      </c>
      <c r="M61" s="30">
        <v>10</v>
      </c>
      <c r="N61" s="30">
        <v>10</v>
      </c>
      <c r="O61" s="30">
        <v>10</v>
      </c>
      <c r="P61" s="30">
        <v>10</v>
      </c>
      <c r="Q61" s="594">
        <v>7836</v>
      </c>
      <c r="R61" s="70">
        <f t="shared" ref="R61:R76" si="1">SUM(E61:P61)</f>
        <v>120</v>
      </c>
      <c r="S61" s="538" t="s">
        <v>102</v>
      </c>
      <c r="T61" s="539" t="s">
        <v>78</v>
      </c>
      <c r="U61" s="32"/>
    </row>
    <row r="62" spans="1:23" ht="51" customHeight="1">
      <c r="A62" s="66"/>
      <c r="B62" s="569"/>
      <c r="C62" s="378"/>
      <c r="D62" s="69" t="s">
        <v>79</v>
      </c>
      <c r="E62" s="86">
        <v>1367592.2999999993</v>
      </c>
      <c r="F62" s="86">
        <v>1372662.2999999993</v>
      </c>
      <c r="G62" s="86">
        <v>1367592.2999999993</v>
      </c>
      <c r="H62" s="86">
        <v>1367592.2999999993</v>
      </c>
      <c r="I62" s="86">
        <v>1451592.2999999993</v>
      </c>
      <c r="J62" s="86">
        <v>1408392.2999999993</v>
      </c>
      <c r="K62" s="86">
        <v>1367592.2999999993</v>
      </c>
      <c r="L62" s="86">
        <v>1530192.2999999993</v>
      </c>
      <c r="M62" s="86">
        <v>1367592.2999999993</v>
      </c>
      <c r="N62" s="86">
        <v>1367592.2999999993</v>
      </c>
      <c r="O62" s="86">
        <v>1367592.2999999993</v>
      </c>
      <c r="P62" s="86">
        <v>1367593.2599999995</v>
      </c>
      <c r="Q62" s="595"/>
      <c r="R62" s="33">
        <f t="shared" si="1"/>
        <v>16703578.559999989</v>
      </c>
      <c r="S62" s="538"/>
      <c r="T62" s="539"/>
      <c r="U62" s="32"/>
    </row>
    <row r="63" spans="1:23" ht="24.95" customHeight="1">
      <c r="A63" s="66"/>
      <c r="B63" s="569"/>
      <c r="C63" s="527" t="s">
        <v>45</v>
      </c>
      <c r="D63" s="35" t="str">
        <f>D61</f>
        <v>Resguardos</v>
      </c>
      <c r="E63" s="40"/>
      <c r="F63" s="40"/>
      <c r="G63" s="40"/>
      <c r="H63" s="40"/>
      <c r="I63" s="40"/>
      <c r="J63" s="40"/>
      <c r="K63" s="40"/>
      <c r="L63" s="40"/>
      <c r="M63" s="40"/>
      <c r="N63" s="40"/>
      <c r="O63" s="40"/>
      <c r="P63" s="40"/>
      <c r="Q63" s="42"/>
      <c r="R63" s="33">
        <f t="shared" si="1"/>
        <v>0</v>
      </c>
      <c r="S63" s="540">
        <f>R63/R61</f>
        <v>0</v>
      </c>
      <c r="T63" s="541">
        <f>R64/R62</f>
        <v>0</v>
      </c>
      <c r="U63" s="32"/>
    </row>
    <row r="64" spans="1:23" ht="24.95" customHeight="1">
      <c r="A64" s="66"/>
      <c r="B64" s="516"/>
      <c r="C64" s="527"/>
      <c r="D64" s="35" t="s">
        <v>79</v>
      </c>
      <c r="E64" s="40"/>
      <c r="F64" s="40"/>
      <c r="G64" s="40"/>
      <c r="H64" s="40"/>
      <c r="I64" s="40"/>
      <c r="J64" s="40"/>
      <c r="K64" s="40"/>
      <c r="L64" s="40"/>
      <c r="M64" s="40"/>
      <c r="N64" s="40"/>
      <c r="O64" s="40"/>
      <c r="P64" s="40"/>
      <c r="Q64" s="42"/>
      <c r="R64" s="33">
        <f t="shared" si="1"/>
        <v>0</v>
      </c>
      <c r="S64" s="540"/>
      <c r="T64" s="541"/>
      <c r="U64" s="32"/>
    </row>
    <row r="65" spans="1:23" ht="35.25" customHeight="1">
      <c r="A65" s="66"/>
      <c r="B65" s="568" t="s">
        <v>61</v>
      </c>
      <c r="C65" s="378" t="s">
        <v>31</v>
      </c>
      <c r="D65" s="69" t="s">
        <v>82</v>
      </c>
      <c r="E65" s="30">
        <v>65</v>
      </c>
      <c r="F65" s="30">
        <v>65</v>
      </c>
      <c r="G65" s="30">
        <v>65</v>
      </c>
      <c r="H65" s="30">
        <v>65</v>
      </c>
      <c r="I65" s="30">
        <v>65</v>
      </c>
      <c r="J65" s="30">
        <v>65</v>
      </c>
      <c r="K65" s="30">
        <v>65</v>
      </c>
      <c r="L65" s="30">
        <v>65</v>
      </c>
      <c r="M65" s="30">
        <v>65</v>
      </c>
      <c r="N65" s="30">
        <v>65</v>
      </c>
      <c r="O65" s="30">
        <v>65</v>
      </c>
      <c r="P65" s="30">
        <v>40</v>
      </c>
      <c r="Q65" s="594">
        <v>7836</v>
      </c>
      <c r="R65" s="70">
        <f t="shared" si="1"/>
        <v>755</v>
      </c>
      <c r="S65" s="538" t="s">
        <v>12</v>
      </c>
      <c r="T65" s="539" t="s">
        <v>78</v>
      </c>
      <c r="U65" s="32"/>
    </row>
    <row r="66" spans="1:23" ht="30" customHeight="1">
      <c r="A66" s="66"/>
      <c r="B66" s="569"/>
      <c r="C66" s="378"/>
      <c r="D66" s="69" t="s">
        <v>79</v>
      </c>
      <c r="E66" s="115">
        <v>643118.02</v>
      </c>
      <c r="F66" s="115">
        <v>2396618.02</v>
      </c>
      <c r="G66" s="115">
        <v>4439618.0199999996</v>
      </c>
      <c r="H66" s="115">
        <v>5356618.03</v>
      </c>
      <c r="I66" s="115">
        <v>1191618.02</v>
      </c>
      <c r="J66" s="115">
        <v>4904618.03</v>
      </c>
      <c r="K66" s="115">
        <v>4031619.0300000007</v>
      </c>
      <c r="L66" s="115">
        <v>1394618.02</v>
      </c>
      <c r="M66" s="115">
        <v>1741618.02</v>
      </c>
      <c r="N66" s="115">
        <v>446618.02</v>
      </c>
      <c r="O66" s="115">
        <v>491623.02</v>
      </c>
      <c r="P66" s="115">
        <v>1846618.02</v>
      </c>
      <c r="Q66" s="595"/>
      <c r="R66" s="33">
        <f t="shared" si="1"/>
        <v>28884922.27</v>
      </c>
      <c r="S66" s="538"/>
      <c r="T66" s="539"/>
      <c r="U66" s="32"/>
    </row>
    <row r="67" spans="1:23" ht="24.95" customHeight="1">
      <c r="A67" s="66"/>
      <c r="B67" s="569"/>
      <c r="C67" s="527" t="s">
        <v>45</v>
      </c>
      <c r="D67" s="35" t="str">
        <f>D65</f>
        <v>Reportes</v>
      </c>
      <c r="E67" s="40"/>
      <c r="F67" s="40"/>
      <c r="G67" s="40"/>
      <c r="H67" s="40"/>
      <c r="I67" s="40"/>
      <c r="J67" s="40"/>
      <c r="K67" s="40"/>
      <c r="L67" s="40"/>
      <c r="M67" s="40"/>
      <c r="N67" s="40"/>
      <c r="O67" s="40"/>
      <c r="P67" s="40"/>
      <c r="Q67" s="42"/>
      <c r="R67" s="33">
        <f t="shared" si="1"/>
        <v>0</v>
      </c>
      <c r="S67" s="540">
        <f>R67/R65</f>
        <v>0</v>
      </c>
      <c r="T67" s="541">
        <f>R68/R66</f>
        <v>0</v>
      </c>
      <c r="U67" s="32"/>
    </row>
    <row r="68" spans="1:23" ht="24.95" customHeight="1">
      <c r="A68" s="66"/>
      <c r="B68" s="516"/>
      <c r="C68" s="527"/>
      <c r="D68" s="35" t="s">
        <v>79</v>
      </c>
      <c r="E68" s="40"/>
      <c r="F68" s="40"/>
      <c r="G68" s="40"/>
      <c r="H68" s="40"/>
      <c r="I68" s="40"/>
      <c r="J68" s="40"/>
      <c r="K68" s="40"/>
      <c r="L68" s="40"/>
      <c r="M68" s="40"/>
      <c r="N68" s="40"/>
      <c r="O68" s="40"/>
      <c r="P68" s="40"/>
      <c r="Q68" s="42"/>
      <c r="R68" s="33">
        <f t="shared" si="1"/>
        <v>0</v>
      </c>
      <c r="S68" s="540"/>
      <c r="T68" s="541"/>
      <c r="U68" s="32"/>
    </row>
    <row r="69" spans="1:23" ht="44.25" customHeight="1">
      <c r="A69" s="66"/>
      <c r="B69" s="568" t="s">
        <v>13</v>
      </c>
      <c r="C69" s="378" t="s">
        <v>31</v>
      </c>
      <c r="D69" s="69" t="s">
        <v>86</v>
      </c>
      <c r="E69" s="116">
        <v>60</v>
      </c>
      <c r="F69" s="116">
        <v>60</v>
      </c>
      <c r="G69" s="116">
        <v>60</v>
      </c>
      <c r="H69" s="116">
        <v>60</v>
      </c>
      <c r="I69" s="116">
        <v>60</v>
      </c>
      <c r="J69" s="116">
        <v>60</v>
      </c>
      <c r="K69" s="116">
        <v>60</v>
      </c>
      <c r="L69" s="116">
        <v>60</v>
      </c>
      <c r="M69" s="116">
        <v>60</v>
      </c>
      <c r="N69" s="116">
        <v>60</v>
      </c>
      <c r="O69" s="116">
        <v>60</v>
      </c>
      <c r="P69" s="116">
        <v>60</v>
      </c>
      <c r="Q69" s="596">
        <v>7836</v>
      </c>
      <c r="R69" s="70">
        <f t="shared" si="1"/>
        <v>720</v>
      </c>
      <c r="S69" s="538" t="s">
        <v>14</v>
      </c>
      <c r="T69" s="393" t="s">
        <v>78</v>
      </c>
      <c r="U69" s="32"/>
    </row>
    <row r="70" spans="1:23" ht="43.5" customHeight="1">
      <c r="A70" s="66"/>
      <c r="B70" s="569"/>
      <c r="C70" s="378"/>
      <c r="D70" s="71" t="s">
        <v>79</v>
      </c>
      <c r="E70" s="117">
        <v>184148.36000000002</v>
      </c>
      <c r="F70" s="117">
        <v>184148.36000000002</v>
      </c>
      <c r="G70" s="117">
        <v>184148.36000000002</v>
      </c>
      <c r="H70" s="117">
        <v>184148.36000000002</v>
      </c>
      <c r="I70" s="117">
        <v>200948.36000000002</v>
      </c>
      <c r="J70" s="117">
        <v>186548.36000000002</v>
      </c>
      <c r="K70" s="117">
        <v>184148.36000000002</v>
      </c>
      <c r="L70" s="117">
        <v>205748.36000000002</v>
      </c>
      <c r="M70" s="117">
        <v>184148.36000000002</v>
      </c>
      <c r="N70" s="117">
        <v>184148.36000000002</v>
      </c>
      <c r="O70" s="117">
        <v>184148.36000000002</v>
      </c>
      <c r="P70" s="117">
        <v>184148.8</v>
      </c>
      <c r="Q70" s="597"/>
      <c r="R70" s="33">
        <f t="shared" si="1"/>
        <v>2250580.7600000007</v>
      </c>
      <c r="S70" s="538"/>
      <c r="T70" s="393"/>
      <c r="U70" s="32"/>
    </row>
    <row r="71" spans="1:23" ht="24.95" customHeight="1">
      <c r="A71" s="66"/>
      <c r="B71" s="569"/>
      <c r="C71" s="527" t="s">
        <v>45</v>
      </c>
      <c r="D71" s="35" t="str">
        <f>D69</f>
        <v>Requisiciones</v>
      </c>
      <c r="E71" s="40"/>
      <c r="F71" s="40"/>
      <c r="G71" s="40"/>
      <c r="H71" s="40"/>
      <c r="I71" s="40"/>
      <c r="J71" s="40"/>
      <c r="K71" s="40"/>
      <c r="L71" s="40"/>
      <c r="M71" s="40"/>
      <c r="N71" s="40"/>
      <c r="O71" s="40"/>
      <c r="P71" s="40"/>
      <c r="Q71" s="42"/>
      <c r="R71" s="70">
        <f t="shared" si="1"/>
        <v>0</v>
      </c>
      <c r="S71" s="540">
        <f>R71/R69</f>
        <v>0</v>
      </c>
      <c r="T71" s="541">
        <f>R72/R70</f>
        <v>0</v>
      </c>
      <c r="U71" s="32"/>
    </row>
    <row r="72" spans="1:23" ht="24.95" customHeight="1">
      <c r="A72" s="66"/>
      <c r="B72" s="516"/>
      <c r="C72" s="527"/>
      <c r="D72" s="35" t="s">
        <v>79</v>
      </c>
      <c r="E72" s="40"/>
      <c r="F72" s="40"/>
      <c r="G72" s="40"/>
      <c r="H72" s="40"/>
      <c r="I72" s="40"/>
      <c r="J72" s="40"/>
      <c r="K72" s="40"/>
      <c r="L72" s="40"/>
      <c r="M72" s="40"/>
      <c r="N72" s="40"/>
      <c r="O72" s="40"/>
      <c r="P72" s="40"/>
      <c r="Q72" s="42"/>
      <c r="R72" s="33">
        <f t="shared" si="1"/>
        <v>0</v>
      </c>
      <c r="S72" s="540"/>
      <c r="T72" s="541"/>
      <c r="U72" s="32"/>
    </row>
    <row r="73" spans="1:23" ht="55.5" customHeight="1">
      <c r="A73" s="66"/>
      <c r="B73" s="568" t="s">
        <v>65</v>
      </c>
      <c r="C73" s="378" t="s">
        <v>31</v>
      </c>
      <c r="D73" s="69" t="s">
        <v>94</v>
      </c>
      <c r="E73" s="115"/>
      <c r="F73" s="115"/>
      <c r="G73" s="116">
        <v>1</v>
      </c>
      <c r="H73" s="116"/>
      <c r="I73" s="116"/>
      <c r="J73" s="116">
        <v>1</v>
      </c>
      <c r="K73" s="116"/>
      <c r="L73" s="116"/>
      <c r="M73" s="116">
        <v>1</v>
      </c>
      <c r="N73" s="116"/>
      <c r="O73" s="116"/>
      <c r="P73" s="116">
        <v>1</v>
      </c>
      <c r="Q73" s="592">
        <v>7836</v>
      </c>
      <c r="R73" s="70">
        <f t="shared" si="1"/>
        <v>4</v>
      </c>
      <c r="S73" s="544" t="s">
        <v>103</v>
      </c>
      <c r="T73" s="393" t="s">
        <v>78</v>
      </c>
      <c r="U73" s="32"/>
    </row>
    <row r="74" spans="1:23" ht="42" customHeight="1">
      <c r="A74" s="66"/>
      <c r="B74" s="569"/>
      <c r="C74" s="378"/>
      <c r="D74" s="71" t="s">
        <v>79</v>
      </c>
      <c r="E74" s="115"/>
      <c r="F74" s="115"/>
      <c r="G74" s="115">
        <v>56406</v>
      </c>
      <c r="H74" s="115"/>
      <c r="I74" s="115"/>
      <c r="J74" s="115">
        <v>44626</v>
      </c>
      <c r="K74" s="115"/>
      <c r="L74" s="115"/>
      <c r="M74" s="115">
        <v>34406</v>
      </c>
      <c r="N74" s="115"/>
      <c r="O74" s="115"/>
      <c r="P74" s="115">
        <v>32326</v>
      </c>
      <c r="Q74" s="593"/>
      <c r="R74" s="33">
        <f t="shared" si="1"/>
        <v>167764</v>
      </c>
      <c r="S74" s="545"/>
      <c r="T74" s="393"/>
      <c r="U74" s="32"/>
    </row>
    <row r="75" spans="1:23" ht="24.95" customHeight="1">
      <c r="A75" s="66"/>
      <c r="B75" s="569"/>
      <c r="C75" s="527" t="s">
        <v>45</v>
      </c>
      <c r="D75" s="35" t="str">
        <f>D73</f>
        <v>Padron de Proveedores</v>
      </c>
      <c r="E75" s="40"/>
      <c r="F75" s="40"/>
      <c r="G75" s="40"/>
      <c r="H75" s="40"/>
      <c r="I75" s="40"/>
      <c r="J75" s="40"/>
      <c r="K75" s="40"/>
      <c r="L75" s="40"/>
      <c r="M75" s="40"/>
      <c r="N75" s="40"/>
      <c r="O75" s="40"/>
      <c r="P75" s="40"/>
      <c r="Q75" s="75"/>
      <c r="R75" s="70">
        <f t="shared" si="1"/>
        <v>0</v>
      </c>
      <c r="S75" s="532">
        <f>R75/R73</f>
        <v>0</v>
      </c>
      <c r="T75" s="534">
        <f>R76/R74</f>
        <v>0</v>
      </c>
      <c r="U75" s="32"/>
    </row>
    <row r="76" spans="1:23" ht="30" customHeight="1">
      <c r="A76" s="66"/>
      <c r="B76" s="516"/>
      <c r="C76" s="527"/>
      <c r="D76" s="35" t="s">
        <v>79</v>
      </c>
      <c r="E76" s="40"/>
      <c r="F76" s="40"/>
      <c r="G76" s="40"/>
      <c r="H76" s="40"/>
      <c r="I76" s="40"/>
      <c r="J76" s="40"/>
      <c r="K76" s="40"/>
      <c r="L76" s="40"/>
      <c r="M76" s="40"/>
      <c r="N76" s="40"/>
      <c r="O76" s="40"/>
      <c r="P76" s="40"/>
      <c r="Q76" s="75"/>
      <c r="R76" s="33">
        <f t="shared" si="1"/>
        <v>0</v>
      </c>
      <c r="S76" s="533"/>
      <c r="T76" s="535"/>
      <c r="U76" s="32"/>
    </row>
    <row r="77" spans="1:23" ht="27" customHeight="1">
      <c r="A77" s="515">
        <v>12</v>
      </c>
      <c r="B77" s="517" t="s">
        <v>58</v>
      </c>
      <c r="C77" s="565" t="s">
        <v>31</v>
      </c>
      <c r="D77" s="69" t="s">
        <v>16</v>
      </c>
      <c r="E77" s="30"/>
      <c r="F77" s="30"/>
      <c r="G77" s="30"/>
      <c r="H77" s="30"/>
      <c r="I77" s="30"/>
      <c r="J77" s="30">
        <v>1</v>
      </c>
      <c r="K77" s="30"/>
      <c r="L77" s="30"/>
      <c r="M77" s="30"/>
      <c r="N77" s="30"/>
      <c r="O77" s="30"/>
      <c r="P77" s="30">
        <v>1</v>
      </c>
      <c r="Q77" s="520">
        <v>7836</v>
      </c>
      <c r="R77" s="39">
        <f t="shared" si="0"/>
        <v>2</v>
      </c>
      <c r="S77" s="538" t="s">
        <v>15</v>
      </c>
      <c r="T77" s="539" t="s">
        <v>78</v>
      </c>
      <c r="U77" s="32">
        <v>3057894.98</v>
      </c>
      <c r="W77" s="34">
        <f>R78-U77</f>
        <v>-108144.29999999935</v>
      </c>
    </row>
    <row r="78" spans="1:23" ht="27" customHeight="1">
      <c r="A78" s="515"/>
      <c r="B78" s="517"/>
      <c r="C78" s="518"/>
      <c r="D78" s="69" t="s">
        <v>79</v>
      </c>
      <c r="E78" s="86">
        <v>241562.49000000002</v>
      </c>
      <c r="F78" s="86">
        <v>244162.49000000002</v>
      </c>
      <c r="G78" s="86">
        <v>241412.49000000002</v>
      </c>
      <c r="H78" s="86">
        <v>241062.49000000002</v>
      </c>
      <c r="I78" s="86">
        <v>254162.49000000002</v>
      </c>
      <c r="J78" s="86">
        <v>249462.49000000002</v>
      </c>
      <c r="K78" s="86">
        <v>244812.49000000002</v>
      </c>
      <c r="L78" s="86">
        <v>268662.49</v>
      </c>
      <c r="M78" s="86">
        <v>240912.49000000002</v>
      </c>
      <c r="N78" s="86">
        <v>241062.49000000002</v>
      </c>
      <c r="O78" s="86">
        <v>240912.49000000002</v>
      </c>
      <c r="P78" s="86">
        <v>241563.29000000007</v>
      </c>
      <c r="Q78" s="520"/>
      <c r="R78" s="33">
        <f>SUM(E78:P78)</f>
        <v>2949750.6800000006</v>
      </c>
      <c r="S78" s="538"/>
      <c r="T78" s="539"/>
      <c r="U78" s="32"/>
    </row>
    <row r="79" spans="1:23" ht="35.25" customHeight="1">
      <c r="A79" s="515"/>
      <c r="B79" s="517"/>
      <c r="C79" s="527" t="s">
        <v>45</v>
      </c>
      <c r="D79" s="35" t="s">
        <v>16</v>
      </c>
      <c r="E79" s="41"/>
      <c r="F79" s="41"/>
      <c r="G79" s="41"/>
      <c r="H79" s="41"/>
      <c r="I79" s="41"/>
      <c r="J79" s="41"/>
      <c r="K79" s="41"/>
      <c r="L79" s="41"/>
      <c r="M79" s="41"/>
      <c r="N79" s="41"/>
      <c r="O79" s="41"/>
      <c r="P79" s="41"/>
      <c r="Q79" s="46"/>
      <c r="R79" s="39">
        <f t="shared" si="0"/>
        <v>0</v>
      </c>
      <c r="S79" s="532">
        <f>R79/R77</f>
        <v>0</v>
      </c>
      <c r="T79" s="536">
        <f>R80/R78</f>
        <v>0</v>
      </c>
      <c r="U79" s="32"/>
    </row>
    <row r="80" spans="1:23" ht="35.25" customHeight="1" thickBot="1">
      <c r="A80" s="589"/>
      <c r="B80" s="568"/>
      <c r="C80" s="566"/>
      <c r="D80" s="47" t="s">
        <v>79</v>
      </c>
      <c r="E80" s="48"/>
      <c r="F80" s="48"/>
      <c r="G80" s="48"/>
      <c r="H80" s="48"/>
      <c r="I80" s="48"/>
      <c r="J80" s="48"/>
      <c r="K80" s="48"/>
      <c r="L80" s="48"/>
      <c r="M80" s="48"/>
      <c r="N80" s="48"/>
      <c r="O80" s="48"/>
      <c r="P80" s="48"/>
      <c r="Q80" s="49"/>
      <c r="R80" s="50">
        <f t="shared" si="0"/>
        <v>0</v>
      </c>
      <c r="S80" s="590"/>
      <c r="T80" s="591"/>
      <c r="U80" s="32"/>
    </row>
    <row r="81" spans="1:23" ht="32.25" customHeight="1">
      <c r="A81" s="570" t="s">
        <v>87</v>
      </c>
      <c r="B81" s="571"/>
      <c r="C81" s="577" t="s">
        <v>31</v>
      </c>
      <c r="D81" s="118" t="s">
        <v>88</v>
      </c>
      <c r="E81" s="119">
        <f>E17+E21+E25+E29+E33+E37+E41+E45+E49+E53+E57+E77+E61+E65+E69+E73</f>
        <v>1156</v>
      </c>
      <c r="F81" s="119">
        <f t="shared" ref="F81:P81" si="2">F17+F21+F25+F29+F33+F37+F41+F45+F49+F53+F57+F77+F61+F65+F69+F73</f>
        <v>1193</v>
      </c>
      <c r="G81" s="119">
        <f t="shared" si="2"/>
        <v>1205</v>
      </c>
      <c r="H81" s="119">
        <f t="shared" si="2"/>
        <v>1197</v>
      </c>
      <c r="I81" s="119">
        <f t="shared" si="2"/>
        <v>1196</v>
      </c>
      <c r="J81" s="119">
        <f t="shared" si="2"/>
        <v>1206</v>
      </c>
      <c r="K81" s="119">
        <f t="shared" si="2"/>
        <v>1248</v>
      </c>
      <c r="L81" s="119">
        <f t="shared" si="2"/>
        <v>1246</v>
      </c>
      <c r="M81" s="119">
        <f t="shared" si="2"/>
        <v>1255</v>
      </c>
      <c r="N81" s="119">
        <f t="shared" si="2"/>
        <v>1247</v>
      </c>
      <c r="O81" s="119">
        <f t="shared" si="2"/>
        <v>1345</v>
      </c>
      <c r="P81" s="119">
        <f t="shared" si="2"/>
        <v>1333</v>
      </c>
      <c r="Q81" s="579"/>
      <c r="R81" s="51">
        <f>R17+R21+R25+R29+R33+R37+R41+R45+R49+R53+R57+R77+R61+R65+R69+R73</f>
        <v>14827</v>
      </c>
      <c r="S81" s="581" t="s">
        <v>89</v>
      </c>
      <c r="T81" s="581" t="s">
        <v>90</v>
      </c>
      <c r="U81" s="52"/>
    </row>
    <row r="82" spans="1:23" ht="34.5" customHeight="1" thickBot="1">
      <c r="A82" s="572"/>
      <c r="B82" s="573"/>
      <c r="C82" s="578"/>
      <c r="D82" s="120" t="s">
        <v>79</v>
      </c>
      <c r="E82" s="121">
        <f>E18+E22+E26+E30+E34+E38+E42+E46+E50+E54+E58+E62+E66+E70+E74+E78</f>
        <v>54898562.420456693</v>
      </c>
      <c r="F82" s="121">
        <f t="shared" ref="F82:P82" si="3">F18+F22+F26+F30+F34+F38+F42+F46+F50+F54+F58+F62+F66+F70+F74+F78</f>
        <v>24725715.250666678</v>
      </c>
      <c r="G82" s="121">
        <f t="shared" si="3"/>
        <v>23772226.028266679</v>
      </c>
      <c r="H82" s="121">
        <f t="shared" si="3"/>
        <v>20162720.529066678</v>
      </c>
      <c r="I82" s="121">
        <f t="shared" si="3"/>
        <v>17744113.127866678</v>
      </c>
      <c r="J82" s="121">
        <f t="shared" si="3"/>
        <v>21158924.53906668</v>
      </c>
      <c r="K82" s="121">
        <f t="shared" si="3"/>
        <v>18364377.716266681</v>
      </c>
      <c r="L82" s="121">
        <f t="shared" si="3"/>
        <v>15967246.347466681</v>
      </c>
      <c r="M82" s="121">
        <f t="shared" si="3"/>
        <v>17579991.60226668</v>
      </c>
      <c r="N82" s="121">
        <f t="shared" si="3"/>
        <v>15431039.163866682</v>
      </c>
      <c r="O82" s="121">
        <f t="shared" si="3"/>
        <v>14836691.224666679</v>
      </c>
      <c r="P82" s="121">
        <f t="shared" si="3"/>
        <v>15080700.162266681</v>
      </c>
      <c r="Q82" s="580"/>
      <c r="R82" s="54">
        <f>R18+R22+R26+R30+R34+R38+R42+R46+R50+R54+R58+R62+R66+R70+R74+R78</f>
        <v>259722308.11219019</v>
      </c>
      <c r="S82" s="582"/>
      <c r="T82" s="582"/>
      <c r="U82" s="52">
        <f>SUM(U18:U81)</f>
        <v>162005575.91999999</v>
      </c>
      <c r="W82" s="52">
        <f>SUM(W18:W81)</f>
        <v>49709886.602190189</v>
      </c>
    </row>
    <row r="83" spans="1:23" ht="34.5" customHeight="1">
      <c r="A83" s="572"/>
      <c r="B83" s="574"/>
      <c r="C83" s="583" t="s">
        <v>45</v>
      </c>
      <c r="D83" s="55" t="s">
        <v>88</v>
      </c>
      <c r="E83" s="56">
        <f t="shared" ref="E83:P83" si="4">E19+E23+E27+E31+E35+E39+E43+E47+E51+E55+E59+E79</f>
        <v>0</v>
      </c>
      <c r="F83" s="56">
        <f t="shared" si="4"/>
        <v>0</v>
      </c>
      <c r="G83" s="56">
        <f t="shared" si="4"/>
        <v>0</v>
      </c>
      <c r="H83" s="56">
        <f t="shared" si="4"/>
        <v>0</v>
      </c>
      <c r="I83" s="56">
        <f t="shared" si="4"/>
        <v>0</v>
      </c>
      <c r="J83" s="56">
        <f t="shared" si="4"/>
        <v>0</v>
      </c>
      <c r="K83" s="56">
        <f t="shared" si="4"/>
        <v>0</v>
      </c>
      <c r="L83" s="56">
        <f t="shared" si="4"/>
        <v>0</v>
      </c>
      <c r="M83" s="56">
        <f t="shared" si="4"/>
        <v>0</v>
      </c>
      <c r="N83" s="56">
        <f t="shared" si="4"/>
        <v>0</v>
      </c>
      <c r="O83" s="56">
        <f t="shared" si="4"/>
        <v>0</v>
      </c>
      <c r="P83" s="56">
        <f t="shared" si="4"/>
        <v>0</v>
      </c>
      <c r="Q83" s="57"/>
      <c r="R83" s="58">
        <f>R19+R23+R27+R31+R35+R39+R43+R47+R51+R55+R59+R79</f>
        <v>0</v>
      </c>
      <c r="S83" s="585">
        <f>R83/R81</f>
        <v>0</v>
      </c>
      <c r="T83" s="587">
        <f>R84/R82</f>
        <v>0</v>
      </c>
      <c r="U83" s="32"/>
    </row>
    <row r="84" spans="1:23" ht="34.5" customHeight="1" thickBot="1">
      <c r="A84" s="575"/>
      <c r="B84" s="576"/>
      <c r="C84" s="584"/>
      <c r="D84" s="53" t="s">
        <v>79</v>
      </c>
      <c r="E84" s="54">
        <f t="shared" ref="E84:P84" si="5">E20+E24+E28+E32+E36+E40+E44+E48+E52+E56+E60+E80</f>
        <v>0</v>
      </c>
      <c r="F84" s="54">
        <f t="shared" si="5"/>
        <v>0</v>
      </c>
      <c r="G84" s="54">
        <f t="shared" si="5"/>
        <v>0</v>
      </c>
      <c r="H84" s="54">
        <f t="shared" si="5"/>
        <v>0</v>
      </c>
      <c r="I84" s="54">
        <f t="shared" si="5"/>
        <v>0</v>
      </c>
      <c r="J84" s="54">
        <f t="shared" si="5"/>
        <v>0</v>
      </c>
      <c r="K84" s="54">
        <f t="shared" si="5"/>
        <v>0</v>
      </c>
      <c r="L84" s="54">
        <f t="shared" si="5"/>
        <v>0</v>
      </c>
      <c r="M84" s="54">
        <f t="shared" si="5"/>
        <v>0</v>
      </c>
      <c r="N84" s="54">
        <f t="shared" si="5"/>
        <v>0</v>
      </c>
      <c r="O84" s="54">
        <f t="shared" si="5"/>
        <v>0</v>
      </c>
      <c r="P84" s="54">
        <f t="shared" si="5"/>
        <v>0</v>
      </c>
      <c r="Q84" s="59"/>
      <c r="R84" s="54">
        <f>R20+R24+R28+R32+R36+R40+R44+R48+R52+R56+R60+R80</f>
        <v>0</v>
      </c>
      <c r="S84" s="586"/>
      <c r="T84" s="588"/>
      <c r="U84" s="32"/>
    </row>
    <row r="85" spans="1:23" ht="15.75">
      <c r="A85" s="60"/>
    </row>
    <row r="86" spans="1:23" ht="15.75">
      <c r="A86" s="60"/>
    </row>
    <row r="87" spans="1:23" ht="15.75">
      <c r="A87" s="60"/>
    </row>
    <row r="88" spans="1:23" ht="15.75">
      <c r="A88" s="60"/>
    </row>
    <row r="89" spans="1:23" ht="15.75">
      <c r="A89" s="60"/>
    </row>
    <row r="90" spans="1:23" ht="15.75">
      <c r="A90" s="60"/>
    </row>
    <row r="91" spans="1:23">
      <c r="E91" s="2"/>
      <c r="F91" s="2"/>
      <c r="G91" s="2"/>
    </row>
    <row r="94" spans="1:23">
      <c r="R94" s="61"/>
      <c r="T94" s="2"/>
    </row>
    <row r="95" spans="1:23">
      <c r="F95" s="61"/>
      <c r="H95" s="61"/>
    </row>
    <row r="96" spans="1:23">
      <c r="P96" s="61"/>
      <c r="R96" s="34"/>
    </row>
    <row r="97" spans="6:18">
      <c r="F97" s="62"/>
      <c r="G97" s="63"/>
      <c r="H97" s="64"/>
      <c r="P97" s="61"/>
    </row>
    <row r="98" spans="6:18">
      <c r="F98" s="65"/>
      <c r="H98" s="65"/>
      <c r="P98" s="61"/>
      <c r="Q98" s="34"/>
      <c r="R98" s="61"/>
    </row>
    <row r="99" spans="6:18">
      <c r="P99" s="61"/>
    </row>
    <row r="100" spans="6:18">
      <c r="P100" s="61"/>
      <c r="R100" s="34"/>
    </row>
    <row r="101" spans="6:18">
      <c r="K101" s="62"/>
    </row>
  </sheetData>
  <mergeCells count="187">
    <mergeCell ref="T65:T66"/>
    <mergeCell ref="C69:C70"/>
    <mergeCell ref="Q61:Q62"/>
    <mergeCell ref="Q65:Q66"/>
    <mergeCell ref="Q69:Q70"/>
    <mergeCell ref="C65:C66"/>
    <mergeCell ref="C67:C68"/>
    <mergeCell ref="T71:T72"/>
    <mergeCell ref="S63:S64"/>
    <mergeCell ref="T63:T64"/>
    <mergeCell ref="C61:C62"/>
    <mergeCell ref="C63:C64"/>
    <mergeCell ref="B65:B68"/>
    <mergeCell ref="A81:B84"/>
    <mergeCell ref="C81:C82"/>
    <mergeCell ref="Q81:Q82"/>
    <mergeCell ref="S81:S82"/>
    <mergeCell ref="T81:T82"/>
    <mergeCell ref="C83:C84"/>
    <mergeCell ref="S83:S84"/>
    <mergeCell ref="T83:T84"/>
    <mergeCell ref="A77:A80"/>
    <mergeCell ref="B77:B80"/>
    <mergeCell ref="C77:C78"/>
    <mergeCell ref="Q77:Q78"/>
    <mergeCell ref="S77:S78"/>
    <mergeCell ref="T77:T78"/>
    <mergeCell ref="C79:C80"/>
    <mergeCell ref="S79:S80"/>
    <mergeCell ref="T79:T80"/>
    <mergeCell ref="C75:C76"/>
    <mergeCell ref="B73:B76"/>
    <mergeCell ref="Q73:Q74"/>
    <mergeCell ref="C71:C72"/>
    <mergeCell ref="B69:B72"/>
    <mergeCell ref="C73:C74"/>
    <mergeCell ref="B61:B64"/>
    <mergeCell ref="S61:S62"/>
    <mergeCell ref="T61:T62"/>
    <mergeCell ref="S69:S70"/>
    <mergeCell ref="T69:T70"/>
    <mergeCell ref="S65:S66"/>
    <mergeCell ref="A53:A56"/>
    <mergeCell ref="B53:B56"/>
    <mergeCell ref="C53:C54"/>
    <mergeCell ref="Q53:Q54"/>
    <mergeCell ref="S53:S54"/>
    <mergeCell ref="T53:T54"/>
    <mergeCell ref="C55:C56"/>
    <mergeCell ref="S55:S56"/>
    <mergeCell ref="T55:T56"/>
    <mergeCell ref="A57:A60"/>
    <mergeCell ref="B57:B60"/>
    <mergeCell ref="C57:C58"/>
    <mergeCell ref="Q57:Q58"/>
    <mergeCell ref="S57:S58"/>
    <mergeCell ref="T57:T58"/>
    <mergeCell ref="C59:C60"/>
    <mergeCell ref="S59:S60"/>
    <mergeCell ref="T59:T60"/>
    <mergeCell ref="A49:A52"/>
    <mergeCell ref="B49:B52"/>
    <mergeCell ref="C49:C50"/>
    <mergeCell ref="Q49:Q50"/>
    <mergeCell ref="S49:S50"/>
    <mergeCell ref="T49:T50"/>
    <mergeCell ref="C51:C52"/>
    <mergeCell ref="S51:S52"/>
    <mergeCell ref="T51:T52"/>
    <mergeCell ref="A45:A48"/>
    <mergeCell ref="B45:B48"/>
    <mergeCell ref="C45:C46"/>
    <mergeCell ref="Q45:Q46"/>
    <mergeCell ref="S45:S46"/>
    <mergeCell ref="T45:T46"/>
    <mergeCell ref="C47:C48"/>
    <mergeCell ref="S47:S48"/>
    <mergeCell ref="T47:T48"/>
    <mergeCell ref="A41:A44"/>
    <mergeCell ref="B41:B44"/>
    <mergeCell ref="C41:C42"/>
    <mergeCell ref="Q41:Q42"/>
    <mergeCell ref="S41:S42"/>
    <mergeCell ref="T41:T42"/>
    <mergeCell ref="C43:C44"/>
    <mergeCell ref="S43:S44"/>
    <mergeCell ref="T43:T44"/>
    <mergeCell ref="C33:C34"/>
    <mergeCell ref="Q37:Q38"/>
    <mergeCell ref="S37:S38"/>
    <mergeCell ref="T37:T38"/>
    <mergeCell ref="C39:C40"/>
    <mergeCell ref="S39:S40"/>
    <mergeCell ref="T39:T40"/>
    <mergeCell ref="A29:A32"/>
    <mergeCell ref="B29:B32"/>
    <mergeCell ref="C29:C30"/>
    <mergeCell ref="A37:A40"/>
    <mergeCell ref="B37:B40"/>
    <mergeCell ref="C37:C38"/>
    <mergeCell ref="C35:C36"/>
    <mergeCell ref="S35:S36"/>
    <mergeCell ref="T35:T36"/>
    <mergeCell ref="A33:A36"/>
    <mergeCell ref="B33:B36"/>
    <mergeCell ref="C31:C32"/>
    <mergeCell ref="S27:S28"/>
    <mergeCell ref="T27:T28"/>
    <mergeCell ref="Q33:Q34"/>
    <mergeCell ref="S33:S34"/>
    <mergeCell ref="T33:T34"/>
    <mergeCell ref="S29:S30"/>
    <mergeCell ref="T29:T30"/>
    <mergeCell ref="S31:S32"/>
    <mergeCell ref="T31:T32"/>
    <mergeCell ref="Q29:Q30"/>
    <mergeCell ref="C25:C26"/>
    <mergeCell ref="Q25:Q26"/>
    <mergeCell ref="S25:S26"/>
    <mergeCell ref="K7:T7"/>
    <mergeCell ref="F15:F16"/>
    <mergeCell ref="A12:D12"/>
    <mergeCell ref="E12:H12"/>
    <mergeCell ref="I12:P12"/>
    <mergeCell ref="Q12:T12"/>
    <mergeCell ref="A13:D13"/>
    <mergeCell ref="E13:H13"/>
    <mergeCell ref="I13:P13"/>
    <mergeCell ref="Q13:T13"/>
    <mergeCell ref="A11:T11"/>
    <mergeCell ref="I15:I16"/>
    <mergeCell ref="J15:J16"/>
    <mergeCell ref="K15:K16"/>
    <mergeCell ref="L15:L16"/>
    <mergeCell ref="A15:A16"/>
    <mergeCell ref="B15:B16"/>
    <mergeCell ref="G15:G16"/>
    <mergeCell ref="T25:T26"/>
    <mergeCell ref="B25:B28"/>
    <mergeCell ref="C23:C24"/>
    <mergeCell ref="C27:C28"/>
    <mergeCell ref="A2:T2"/>
    <mergeCell ref="A3:T3"/>
    <mergeCell ref="A6:J6"/>
    <mergeCell ref="K6:T6"/>
    <mergeCell ref="A7:J7"/>
    <mergeCell ref="S75:S76"/>
    <mergeCell ref="T75:T76"/>
    <mergeCell ref="S19:S20"/>
    <mergeCell ref="T19:T20"/>
    <mergeCell ref="S21:S22"/>
    <mergeCell ref="T21:T22"/>
    <mergeCell ref="S23:S24"/>
    <mergeCell ref="T23:T24"/>
    <mergeCell ref="S67:S68"/>
    <mergeCell ref="T67:T68"/>
    <mergeCell ref="S17:S18"/>
    <mergeCell ref="T17:T18"/>
    <mergeCell ref="C19:C20"/>
    <mergeCell ref="O15:O16"/>
    <mergeCell ref="S73:S74"/>
    <mergeCell ref="T73:T74"/>
    <mergeCell ref="S71:S72"/>
    <mergeCell ref="A25:A28"/>
    <mergeCell ref="H15:H16"/>
    <mergeCell ref="E15:E16"/>
    <mergeCell ref="A17:A20"/>
    <mergeCell ref="B17:B20"/>
    <mergeCell ref="C17:C18"/>
    <mergeCell ref="Q17:Q18"/>
    <mergeCell ref="Q21:Q22"/>
    <mergeCell ref="A8:J8"/>
    <mergeCell ref="K8:T8"/>
    <mergeCell ref="A9:J9"/>
    <mergeCell ref="K9:T9"/>
    <mergeCell ref="A10:P10"/>
    <mergeCell ref="S15:T15"/>
    <mergeCell ref="M15:M16"/>
    <mergeCell ref="N15:N16"/>
    <mergeCell ref="P15:P16"/>
    <mergeCell ref="Q15:Q16"/>
    <mergeCell ref="R15:R16"/>
    <mergeCell ref="A21:A24"/>
    <mergeCell ref="B21:B24"/>
    <mergeCell ref="C21:C22"/>
    <mergeCell ref="C15:C16"/>
    <mergeCell ref="D15:D16"/>
  </mergeCells>
  <printOptions horizontalCentered="1" verticalCentered="1"/>
  <pageMargins left="0.11811023622047245" right="0.11811023622047245" top="0.35433070866141736" bottom="0.35433070866141736" header="0.31496062992125984" footer="0.31496062992125984"/>
  <pageSetup scale="46" fitToHeight="0" orientation="landscape" r:id="rId1"/>
  <rowBreaks count="1" manualBreakCount="1">
    <brk id="36"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workbookViewId="0">
      <selection activeCell="F12" sqref="F12"/>
    </sheetView>
  </sheetViews>
  <sheetFormatPr baseColWidth="10" defaultRowHeight="15"/>
  <cols>
    <col min="1" max="1" width="18.42578125" customWidth="1"/>
    <col min="3" max="5" width="14.28515625" bestFit="1" customWidth="1"/>
    <col min="6" max="6" width="14.28515625" customWidth="1"/>
    <col min="7" max="9" width="14.140625" bestFit="1" customWidth="1"/>
    <col min="10" max="10" width="14.140625" customWidth="1"/>
    <col min="11" max="13" width="14.140625" bestFit="1" customWidth="1"/>
    <col min="14" max="14" width="14.140625" customWidth="1"/>
    <col min="15" max="17" width="14.140625" bestFit="1" customWidth="1"/>
    <col min="18" max="18" width="14.140625" customWidth="1"/>
    <col min="19" max="19" width="15.28515625" bestFit="1" customWidth="1"/>
  </cols>
  <sheetData>
    <row r="1" spans="1:21" ht="15.75" thickBot="1"/>
    <row r="2" spans="1:21" ht="15.75" thickBot="1">
      <c r="A2" s="85" t="s">
        <v>122</v>
      </c>
      <c r="B2" s="85" t="s">
        <v>109</v>
      </c>
      <c r="C2" s="85" t="s">
        <v>110</v>
      </c>
      <c r="D2" s="85" t="s">
        <v>111</v>
      </c>
      <c r="E2" s="85" t="s">
        <v>112</v>
      </c>
      <c r="F2" s="85"/>
      <c r="G2" s="85" t="s">
        <v>113</v>
      </c>
      <c r="H2" s="85" t="s">
        <v>114</v>
      </c>
      <c r="I2" s="85" t="s">
        <v>115</v>
      </c>
      <c r="J2" s="85"/>
      <c r="K2" s="85" t="s">
        <v>116</v>
      </c>
      <c r="L2" s="85" t="s">
        <v>117</v>
      </c>
      <c r="M2" s="85" t="s">
        <v>118</v>
      </c>
      <c r="N2" s="85"/>
      <c r="O2" s="85" t="s">
        <v>119</v>
      </c>
      <c r="P2" s="85" t="s">
        <v>120</v>
      </c>
      <c r="Q2" s="85" t="s">
        <v>121</v>
      </c>
      <c r="R2" s="85"/>
      <c r="S2" s="85" t="s">
        <v>104</v>
      </c>
    </row>
    <row r="3" spans="1:21" ht="30">
      <c r="A3" s="76" t="s">
        <v>108</v>
      </c>
      <c r="B3" s="83" t="s">
        <v>105</v>
      </c>
      <c r="C3" s="87">
        <v>33705405.22045669</v>
      </c>
      <c r="D3" s="87">
        <v>16766718.050666679</v>
      </c>
      <c r="E3" s="87">
        <v>13617040.828266682</v>
      </c>
      <c r="F3" s="87"/>
      <c r="G3" s="87">
        <v>7291863.3190666819</v>
      </c>
      <c r="H3" s="87">
        <v>8716805.9278666805</v>
      </c>
      <c r="I3" s="87">
        <v>8560519.3290666807</v>
      </c>
      <c r="J3" s="87"/>
      <c r="K3" s="87">
        <v>6790469.5062666824</v>
      </c>
      <c r="L3" s="87">
        <v>6596589.1474666828</v>
      </c>
      <c r="M3" s="87">
        <v>8239156.4022666831</v>
      </c>
      <c r="N3" s="87"/>
      <c r="O3" s="87">
        <v>8474381.9638666827</v>
      </c>
      <c r="P3" s="87">
        <v>8830329.02466668</v>
      </c>
      <c r="Q3" s="87">
        <v>7634887.8622666812</v>
      </c>
      <c r="R3" s="112"/>
      <c r="S3" s="84">
        <f t="shared" ref="S3:S18" si="0">SUM(C3:Q3)</f>
        <v>135224166.58219019</v>
      </c>
      <c r="U3" s="65"/>
    </row>
    <row r="4" spans="1:21">
      <c r="A4" s="73" t="s">
        <v>108</v>
      </c>
      <c r="B4" s="73">
        <v>2003</v>
      </c>
      <c r="C4" s="88">
        <v>820711.63000000012</v>
      </c>
      <c r="D4" s="88">
        <v>822611.63000000012</v>
      </c>
      <c r="E4" s="88">
        <v>804711.63000000012</v>
      </c>
      <c r="F4" s="88"/>
      <c r="G4" s="88">
        <v>804211.63000000012</v>
      </c>
      <c r="H4" s="88">
        <v>875611.63000000012</v>
      </c>
      <c r="I4" s="88">
        <v>804911.63000000012</v>
      </c>
      <c r="J4" s="88"/>
      <c r="K4" s="88">
        <v>820711.63000000012</v>
      </c>
      <c r="L4" s="88">
        <v>866111.63000000012</v>
      </c>
      <c r="M4" s="88">
        <v>804711.63000000012</v>
      </c>
      <c r="N4" s="88"/>
      <c r="O4" s="88">
        <v>800211.63000000012</v>
      </c>
      <c r="P4" s="88">
        <v>804711.63000000012</v>
      </c>
      <c r="Q4" s="88">
        <v>805212.12999999989</v>
      </c>
      <c r="R4" s="113"/>
      <c r="S4" s="79">
        <f t="shared" si="0"/>
        <v>9834440.0599999987</v>
      </c>
    </row>
    <row r="5" spans="1:21" ht="30">
      <c r="A5" s="77" t="s">
        <v>106</v>
      </c>
      <c r="B5" s="80">
        <v>2004</v>
      </c>
      <c r="C5" s="88">
        <v>213536.07</v>
      </c>
      <c r="D5" s="88">
        <v>213536.07</v>
      </c>
      <c r="E5" s="88">
        <v>213536.07</v>
      </c>
      <c r="F5" s="88"/>
      <c r="G5" s="88">
        <v>213536.07</v>
      </c>
      <c r="H5" s="88">
        <v>238736.07</v>
      </c>
      <c r="I5" s="88">
        <v>214736.07</v>
      </c>
      <c r="J5" s="88"/>
      <c r="K5" s="88">
        <v>213536.07</v>
      </c>
      <c r="L5" s="88">
        <v>233636.07</v>
      </c>
      <c r="M5" s="88">
        <v>213536.07</v>
      </c>
      <c r="N5" s="88"/>
      <c r="O5" s="88">
        <v>213536.07</v>
      </c>
      <c r="P5" s="88">
        <v>213536.07</v>
      </c>
      <c r="Q5" s="88">
        <v>213536.77000000005</v>
      </c>
      <c r="R5" s="113"/>
      <c r="S5" s="79">
        <f t="shared" si="0"/>
        <v>2608933.54</v>
      </c>
    </row>
    <row r="6" spans="1:21">
      <c r="A6" s="72" t="s">
        <v>107</v>
      </c>
      <c r="B6" s="80">
        <v>2004</v>
      </c>
      <c r="C6" s="88">
        <v>4716</v>
      </c>
      <c r="D6" s="88">
        <v>3916</v>
      </c>
      <c r="E6" s="88">
        <v>4716</v>
      </c>
      <c r="F6" s="88"/>
      <c r="G6" s="88">
        <v>3916</v>
      </c>
      <c r="H6" s="88">
        <v>3716</v>
      </c>
      <c r="I6" s="88">
        <v>3716</v>
      </c>
      <c r="J6" s="88"/>
      <c r="K6" s="88">
        <v>4716</v>
      </c>
      <c r="L6" s="88">
        <v>4916</v>
      </c>
      <c r="M6" s="88">
        <v>3716</v>
      </c>
      <c r="N6" s="88"/>
      <c r="O6" s="88">
        <v>3716</v>
      </c>
      <c r="P6" s="88">
        <v>3716</v>
      </c>
      <c r="Q6" s="88">
        <v>5716</v>
      </c>
      <c r="R6" s="113"/>
      <c r="S6" s="79">
        <f t="shared" si="0"/>
        <v>51192</v>
      </c>
    </row>
    <row r="7" spans="1:21" ht="30">
      <c r="A7" s="77" t="s">
        <v>106</v>
      </c>
      <c r="B7" s="81">
        <v>2005</v>
      </c>
      <c r="C7" s="88">
        <v>461444.32000000018</v>
      </c>
      <c r="D7" s="88">
        <v>461444.32000000018</v>
      </c>
      <c r="E7" s="88">
        <v>461444.32000000018</v>
      </c>
      <c r="F7" s="88"/>
      <c r="G7" s="88">
        <v>461444.32000000018</v>
      </c>
      <c r="H7" s="88">
        <v>482444.32000000018</v>
      </c>
      <c r="I7" s="88">
        <v>468644.32000000018</v>
      </c>
      <c r="J7" s="88"/>
      <c r="K7" s="88">
        <v>461444.32000000018</v>
      </c>
      <c r="L7" s="88">
        <v>497894.32000000018</v>
      </c>
      <c r="M7" s="88">
        <v>461444.32000000018</v>
      </c>
      <c r="N7" s="88"/>
      <c r="O7" s="88">
        <v>461444.32000000018</v>
      </c>
      <c r="P7" s="88">
        <v>461444.32000000018</v>
      </c>
      <c r="Q7" s="88">
        <v>461445.07000000012</v>
      </c>
      <c r="R7" s="113"/>
      <c r="S7" s="79">
        <f t="shared" si="0"/>
        <v>5601982.5900000026</v>
      </c>
    </row>
    <row r="8" spans="1:21">
      <c r="A8" s="72" t="s">
        <v>107</v>
      </c>
      <c r="B8" s="81">
        <v>2005</v>
      </c>
      <c r="C8" s="88">
        <v>29334</v>
      </c>
      <c r="D8" s="88">
        <v>65509</v>
      </c>
      <c r="E8" s="88">
        <v>16909</v>
      </c>
      <c r="F8" s="88">
        <f>C8+D8+E8</f>
        <v>111752</v>
      </c>
      <c r="G8" s="88">
        <v>19734</v>
      </c>
      <c r="H8" s="88">
        <v>17134</v>
      </c>
      <c r="I8" s="88">
        <v>9734</v>
      </c>
      <c r="J8" s="88">
        <f>G8+H8+I8</f>
        <v>46602</v>
      </c>
      <c r="K8" s="88">
        <v>19334</v>
      </c>
      <c r="L8" s="88">
        <v>9734</v>
      </c>
      <c r="M8" s="88">
        <v>10734</v>
      </c>
      <c r="N8" s="88">
        <f>K8+L8+M8</f>
        <v>39802</v>
      </c>
      <c r="O8" s="88">
        <v>18234</v>
      </c>
      <c r="P8" s="88">
        <v>11334</v>
      </c>
      <c r="Q8" s="88">
        <v>11234</v>
      </c>
      <c r="R8" s="113">
        <f>O8+P8+Q8</f>
        <v>40802</v>
      </c>
      <c r="S8" s="79">
        <f>F8+J8+N8+R8</f>
        <v>238958</v>
      </c>
    </row>
    <row r="9" spans="1:21">
      <c r="A9" s="73" t="s">
        <v>108</v>
      </c>
      <c r="B9" s="73">
        <v>2006</v>
      </c>
      <c r="C9" s="88">
        <v>166039.59999999998</v>
      </c>
      <c r="D9" s="88">
        <v>166039.59999999998</v>
      </c>
      <c r="E9" s="88">
        <v>166039.59999999998</v>
      </c>
      <c r="F9" s="88"/>
      <c r="G9" s="88">
        <v>166039.59999999998</v>
      </c>
      <c r="H9" s="88">
        <v>166039.59999999998</v>
      </c>
      <c r="I9" s="88">
        <v>167239.59999999998</v>
      </c>
      <c r="J9" s="88"/>
      <c r="K9" s="88">
        <v>166039.59999999998</v>
      </c>
      <c r="L9" s="88">
        <v>168439.59999999998</v>
      </c>
      <c r="M9" s="88">
        <v>166039.59999999998</v>
      </c>
      <c r="N9" s="88"/>
      <c r="O9" s="88">
        <v>166039.59999999998</v>
      </c>
      <c r="P9" s="88">
        <v>166039.59999999998</v>
      </c>
      <c r="Q9" s="88">
        <v>166040.09000000005</v>
      </c>
      <c r="R9" s="113"/>
      <c r="S9" s="79">
        <f t="shared" si="0"/>
        <v>1996075.6900000002</v>
      </c>
    </row>
    <row r="10" spans="1:21" ht="30">
      <c r="A10" s="77" t="s">
        <v>106</v>
      </c>
      <c r="B10" s="80">
        <v>2008</v>
      </c>
      <c r="C10" s="88">
        <v>72641.180000000008</v>
      </c>
      <c r="D10" s="88">
        <v>72641.180000000008</v>
      </c>
      <c r="E10" s="88">
        <v>72641.180000000008</v>
      </c>
      <c r="F10" s="88"/>
      <c r="G10" s="88">
        <v>72641.180000000008</v>
      </c>
      <c r="H10" s="88">
        <v>89441.180000000008</v>
      </c>
      <c r="I10" s="88">
        <v>72641.180000000008</v>
      </c>
      <c r="J10" s="88"/>
      <c r="K10" s="88">
        <v>72641.180000000008</v>
      </c>
      <c r="L10" s="88">
        <v>84641.180000000008</v>
      </c>
      <c r="M10" s="88">
        <v>72641.180000000008</v>
      </c>
      <c r="N10" s="88"/>
      <c r="O10" s="88">
        <v>72641.180000000008</v>
      </c>
      <c r="P10" s="88">
        <v>72641.180000000008</v>
      </c>
      <c r="Q10" s="88">
        <v>72641.77</v>
      </c>
      <c r="R10" s="113"/>
      <c r="S10" s="79">
        <f t="shared" si="0"/>
        <v>900494.75000000023</v>
      </c>
    </row>
    <row r="11" spans="1:21">
      <c r="A11" s="72" t="s">
        <v>107</v>
      </c>
      <c r="B11" s="80">
        <v>2008</v>
      </c>
      <c r="C11" s="88">
        <v>12490</v>
      </c>
      <c r="D11" s="88">
        <v>16590</v>
      </c>
      <c r="E11" s="88">
        <v>2590</v>
      </c>
      <c r="F11" s="88">
        <f>C11+D11+E11</f>
        <v>31670</v>
      </c>
      <c r="G11" s="88">
        <v>3590</v>
      </c>
      <c r="H11" s="88">
        <v>2590</v>
      </c>
      <c r="I11" s="88">
        <v>2590</v>
      </c>
      <c r="J11" s="88">
        <f>G11+H11+I11</f>
        <v>8770</v>
      </c>
      <c r="K11" s="88">
        <v>5590</v>
      </c>
      <c r="L11" s="88">
        <v>2590</v>
      </c>
      <c r="M11" s="88">
        <v>2590</v>
      </c>
      <c r="N11" s="88">
        <f>K11+L11+M11</f>
        <v>10770</v>
      </c>
      <c r="O11" s="88">
        <v>3590</v>
      </c>
      <c r="P11" s="88">
        <v>2490</v>
      </c>
      <c r="Q11" s="88">
        <v>2590</v>
      </c>
      <c r="R11" s="113">
        <f>O11+P11+Q11</f>
        <v>8670</v>
      </c>
      <c r="S11" s="79">
        <f t="shared" si="0"/>
        <v>111090</v>
      </c>
    </row>
    <row r="12" spans="1:21">
      <c r="A12" s="73" t="s">
        <v>108</v>
      </c>
      <c r="B12" s="73">
        <v>9002</v>
      </c>
      <c r="C12" s="88">
        <v>16724206.25</v>
      </c>
      <c r="D12" s="88">
        <v>1731276.2499999998</v>
      </c>
      <c r="E12" s="88">
        <v>1709556.2499999998</v>
      </c>
      <c r="F12" s="88"/>
      <c r="G12" s="88">
        <v>3709706.25</v>
      </c>
      <c r="H12" s="88">
        <v>3753156.25</v>
      </c>
      <c r="I12" s="88">
        <v>3726356.25</v>
      </c>
      <c r="J12" s="88"/>
      <c r="K12" s="88">
        <v>3714206.25</v>
      </c>
      <c r="L12" s="88">
        <v>3800906.25</v>
      </c>
      <c r="M12" s="88">
        <v>3709556.25</v>
      </c>
      <c r="N12" s="88"/>
      <c r="O12" s="88">
        <v>2709706.25</v>
      </c>
      <c r="P12" s="88">
        <v>1709556.2499999998</v>
      </c>
      <c r="Q12" s="88">
        <v>1709557.4100000006</v>
      </c>
      <c r="R12" s="113"/>
      <c r="S12" s="79">
        <f t="shared" si="0"/>
        <v>48707746.160000004</v>
      </c>
    </row>
    <row r="13" spans="1:21">
      <c r="A13" s="73" t="s">
        <v>108</v>
      </c>
      <c r="B13" s="73">
        <v>9003</v>
      </c>
      <c r="C13" s="88">
        <v>293440.98</v>
      </c>
      <c r="D13" s="88">
        <v>289940.98</v>
      </c>
      <c r="E13" s="88">
        <v>289940.98</v>
      </c>
      <c r="F13" s="88"/>
      <c r="G13" s="88">
        <v>289940.98</v>
      </c>
      <c r="H13" s="88">
        <v>319840.98</v>
      </c>
      <c r="I13" s="88">
        <v>291140.98</v>
      </c>
      <c r="J13" s="88"/>
      <c r="K13" s="88">
        <v>292440.98</v>
      </c>
      <c r="L13" s="88">
        <v>314890.98</v>
      </c>
      <c r="M13" s="88">
        <v>289940.98</v>
      </c>
      <c r="N13" s="88"/>
      <c r="O13" s="88">
        <v>289940.98</v>
      </c>
      <c r="P13" s="88">
        <v>290440.98</v>
      </c>
      <c r="Q13" s="88">
        <v>289941.69</v>
      </c>
      <c r="R13" s="113"/>
      <c r="S13" s="79">
        <f t="shared" si="0"/>
        <v>3541842.4699999997</v>
      </c>
    </row>
    <row r="14" spans="1:21" ht="30">
      <c r="A14" s="77" t="s">
        <v>106</v>
      </c>
      <c r="B14" s="81">
        <v>9004</v>
      </c>
      <c r="C14" s="88">
        <v>1367592.2999999993</v>
      </c>
      <c r="D14" s="88">
        <v>1372662.2999999993</v>
      </c>
      <c r="E14" s="88">
        <v>1367592.2999999993</v>
      </c>
      <c r="F14" s="88"/>
      <c r="G14" s="88">
        <v>1367592.2999999993</v>
      </c>
      <c r="H14" s="88">
        <v>1451592.2999999993</v>
      </c>
      <c r="I14" s="88">
        <v>1408392.2999999993</v>
      </c>
      <c r="J14" s="88"/>
      <c r="K14" s="88">
        <v>1367592.2999999993</v>
      </c>
      <c r="L14" s="88">
        <v>1530192.2999999993</v>
      </c>
      <c r="M14" s="88">
        <v>1367592.2999999993</v>
      </c>
      <c r="N14" s="88"/>
      <c r="O14" s="88">
        <v>1367592.2999999993</v>
      </c>
      <c r="P14" s="88">
        <v>1367592.2999999993</v>
      </c>
      <c r="Q14" s="88">
        <v>1367593.2599999995</v>
      </c>
      <c r="R14" s="113"/>
      <c r="S14" s="79">
        <f t="shared" si="0"/>
        <v>16703578.559999989</v>
      </c>
    </row>
    <row r="15" spans="1:21">
      <c r="A15" s="72" t="s">
        <v>107</v>
      </c>
      <c r="B15" s="81">
        <v>9004</v>
      </c>
      <c r="C15" s="88">
        <v>643118.02</v>
      </c>
      <c r="D15" s="88">
        <v>2396618.02</v>
      </c>
      <c r="E15" s="88">
        <v>4439618.0199999996</v>
      </c>
      <c r="F15" s="88"/>
      <c r="G15" s="88">
        <v>5356618.03</v>
      </c>
      <c r="H15" s="88">
        <v>1191618.02</v>
      </c>
      <c r="I15" s="88">
        <v>4904618.03</v>
      </c>
      <c r="J15" s="88"/>
      <c r="K15" s="88">
        <v>4031619.0300000007</v>
      </c>
      <c r="L15" s="88">
        <v>1394618.02</v>
      </c>
      <c r="M15" s="88">
        <v>1741618.02</v>
      </c>
      <c r="N15" s="88"/>
      <c r="O15" s="88">
        <v>446618.02</v>
      </c>
      <c r="P15" s="88">
        <v>491623.02</v>
      </c>
      <c r="Q15" s="88">
        <v>1846618.02</v>
      </c>
      <c r="R15" s="113"/>
      <c r="S15" s="79">
        <f t="shared" si="0"/>
        <v>28884922.27</v>
      </c>
    </row>
    <row r="16" spans="1:21" ht="30">
      <c r="A16" s="77" t="s">
        <v>106</v>
      </c>
      <c r="B16" s="80">
        <v>9005</v>
      </c>
      <c r="C16" s="88">
        <v>184148.36000000002</v>
      </c>
      <c r="D16" s="88">
        <v>184148.36000000002</v>
      </c>
      <c r="E16" s="88">
        <v>184148.36000000002</v>
      </c>
      <c r="F16" s="88"/>
      <c r="G16" s="88">
        <v>184148.36000000002</v>
      </c>
      <c r="H16" s="88">
        <v>200948.36000000002</v>
      </c>
      <c r="I16" s="88">
        <v>186548.36000000002</v>
      </c>
      <c r="J16" s="88"/>
      <c r="K16" s="88">
        <v>184148.36000000002</v>
      </c>
      <c r="L16" s="88">
        <v>205748.36000000002</v>
      </c>
      <c r="M16" s="88">
        <v>184148.36000000002</v>
      </c>
      <c r="N16" s="88"/>
      <c r="O16" s="88">
        <v>184148.36000000002</v>
      </c>
      <c r="P16" s="88">
        <v>184148.36000000002</v>
      </c>
      <c r="Q16" s="88">
        <v>184148.8</v>
      </c>
      <c r="R16" s="113"/>
      <c r="S16" s="79">
        <f t="shared" si="0"/>
        <v>2250580.7600000007</v>
      </c>
    </row>
    <row r="17" spans="1:19">
      <c r="A17" s="72" t="s">
        <v>107</v>
      </c>
      <c r="B17" s="80">
        <v>9005</v>
      </c>
      <c r="C17" s="88">
        <v>12722</v>
      </c>
      <c r="D17" s="88">
        <v>30742</v>
      </c>
      <c r="E17" s="88">
        <v>12942</v>
      </c>
      <c r="F17" s="88">
        <f>C17+D17+E17</f>
        <v>56406</v>
      </c>
      <c r="G17" s="88">
        <v>22942</v>
      </c>
      <c r="H17" s="88">
        <v>11442</v>
      </c>
      <c r="I17" s="88">
        <v>10242</v>
      </c>
      <c r="J17" s="88">
        <f>G17+H17+I17</f>
        <v>44626</v>
      </c>
      <c r="K17" s="88">
        <v>12722</v>
      </c>
      <c r="L17" s="88">
        <v>12942</v>
      </c>
      <c r="M17" s="88">
        <v>8742</v>
      </c>
      <c r="N17" s="88">
        <f>K17+L17+M17</f>
        <v>34406</v>
      </c>
      <c r="O17" s="88">
        <v>10442</v>
      </c>
      <c r="P17" s="88">
        <v>11442</v>
      </c>
      <c r="Q17" s="88">
        <v>10442</v>
      </c>
      <c r="R17" s="113">
        <f>O17+P17+Q17</f>
        <v>32326</v>
      </c>
      <c r="S17" s="79">
        <f t="shared" si="0"/>
        <v>303202</v>
      </c>
    </row>
    <row r="18" spans="1:19">
      <c r="A18" s="73" t="s">
        <v>108</v>
      </c>
      <c r="B18" s="73">
        <v>9006</v>
      </c>
      <c r="C18" s="88">
        <v>241562.49000000002</v>
      </c>
      <c r="D18" s="88">
        <v>244162.49000000002</v>
      </c>
      <c r="E18" s="88">
        <v>241412.49000000002</v>
      </c>
      <c r="F18" s="88"/>
      <c r="G18" s="88">
        <v>241062.49000000002</v>
      </c>
      <c r="H18" s="88">
        <v>254162.49000000002</v>
      </c>
      <c r="I18" s="88">
        <v>249462.49000000002</v>
      </c>
      <c r="J18" s="88"/>
      <c r="K18" s="88">
        <v>244812.49000000002</v>
      </c>
      <c r="L18" s="88">
        <v>268662.49</v>
      </c>
      <c r="M18" s="88">
        <v>240912.49000000002</v>
      </c>
      <c r="N18" s="88"/>
      <c r="O18" s="88">
        <v>241062.49000000002</v>
      </c>
      <c r="P18" s="88">
        <v>240912.49000000002</v>
      </c>
      <c r="Q18" s="88">
        <v>241563.29000000007</v>
      </c>
      <c r="R18" s="88"/>
      <c r="S18" s="78">
        <f t="shared" si="0"/>
        <v>2949750.6800000006</v>
      </c>
    </row>
    <row r="19" spans="1:19">
      <c r="C19" s="65">
        <f>SUM(C3:C18)</f>
        <v>54953108.420456693</v>
      </c>
      <c r="D19" s="65">
        <f t="shared" ref="D19:S19" si="1">SUM(D3:D18)</f>
        <v>24838556.250666678</v>
      </c>
      <c r="E19" s="65">
        <f t="shared" si="1"/>
        <v>23604839.028266679</v>
      </c>
      <c r="F19" s="65"/>
      <c r="G19" s="65">
        <f t="shared" si="1"/>
        <v>20208986.529066678</v>
      </c>
      <c r="H19" s="65">
        <f t="shared" si="1"/>
        <v>17775279.127866678</v>
      </c>
      <c r="I19" s="65">
        <f t="shared" si="1"/>
        <v>21081492.53906668</v>
      </c>
      <c r="J19" s="65"/>
      <c r="K19" s="65">
        <f t="shared" si="1"/>
        <v>18402023.716266681</v>
      </c>
      <c r="L19" s="65">
        <f t="shared" si="1"/>
        <v>15992512.347466681</v>
      </c>
      <c r="M19" s="65">
        <f t="shared" si="1"/>
        <v>17517079.60226668</v>
      </c>
      <c r="N19" s="65"/>
      <c r="O19" s="65">
        <f t="shared" si="1"/>
        <v>15463305.163866682</v>
      </c>
      <c r="P19" s="65">
        <f t="shared" si="1"/>
        <v>14861957.224666679</v>
      </c>
      <c r="Q19" s="65">
        <f t="shared" si="1"/>
        <v>15023168.162266681</v>
      </c>
      <c r="R19" s="65"/>
      <c r="S19" s="65">
        <f t="shared" si="1"/>
        <v>259908956.11219019</v>
      </c>
    </row>
    <row r="20" spans="1:19">
      <c r="C20" s="2">
        <v>54953108.420456685</v>
      </c>
      <c r="D20" s="2">
        <v>24838556.250666685</v>
      </c>
      <c r="E20" s="2">
        <v>23604839.028266694</v>
      </c>
      <c r="F20" s="2"/>
      <c r="G20" s="2">
        <v>20208986.529066686</v>
      </c>
      <c r="H20" s="2">
        <v>17775279.127866693</v>
      </c>
      <c r="I20" s="2">
        <v>21081492.539066691</v>
      </c>
      <c r="J20" s="2"/>
      <c r="K20" s="2">
        <v>18402023.716266688</v>
      </c>
      <c r="L20" s="2">
        <v>15992512.347466685</v>
      </c>
      <c r="M20" s="2">
        <v>17517079.602266692</v>
      </c>
      <c r="N20" s="2"/>
      <c r="O20" s="2">
        <v>15463305.163866688</v>
      </c>
      <c r="P20" s="2">
        <v>14861957.224666685</v>
      </c>
      <c r="Q20" s="2">
        <v>15023168.162266681</v>
      </c>
      <c r="R20" s="2"/>
      <c r="S20" s="2">
        <v>259722308.11218992</v>
      </c>
    </row>
    <row r="22" spans="1:19">
      <c r="C22" s="65">
        <f>C19-C20</f>
        <v>0</v>
      </c>
      <c r="D22" s="65">
        <f t="shared" ref="D22:Q22" si="2">D19-D20</f>
        <v>0</v>
      </c>
      <c r="E22" s="65">
        <f t="shared" si="2"/>
        <v>0</v>
      </c>
      <c r="F22" s="65"/>
      <c r="G22" s="65">
        <f t="shared" si="2"/>
        <v>0</v>
      </c>
      <c r="H22" s="65">
        <f t="shared" si="2"/>
        <v>0</v>
      </c>
      <c r="I22" s="65">
        <f t="shared" si="2"/>
        <v>0</v>
      </c>
      <c r="J22" s="65"/>
      <c r="K22" s="65">
        <f t="shared" si="2"/>
        <v>0</v>
      </c>
      <c r="L22" s="65">
        <f t="shared" si="2"/>
        <v>0</v>
      </c>
      <c r="M22" s="65">
        <f t="shared" si="2"/>
        <v>0</v>
      </c>
      <c r="N22" s="65"/>
      <c r="O22" s="65">
        <f t="shared" si="2"/>
        <v>0</v>
      </c>
      <c r="P22" s="65">
        <f t="shared" si="2"/>
        <v>0</v>
      </c>
      <c r="Q22" s="65">
        <f t="shared" si="2"/>
        <v>0</v>
      </c>
      <c r="R22" s="65"/>
      <c r="S22" s="65">
        <f>S19-S20</f>
        <v>186648.00000026822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R444"/>
  <sheetViews>
    <sheetView topLeftCell="H421" workbookViewId="0">
      <selection activeCell="F12" sqref="F12"/>
    </sheetView>
  </sheetViews>
  <sheetFormatPr baseColWidth="10" defaultRowHeight="15"/>
  <cols>
    <col min="1" max="1" width="8.140625" style="74" customWidth="1"/>
    <col min="2" max="2" width="38.140625" customWidth="1"/>
    <col min="3" max="3" width="6.42578125" style="74" customWidth="1"/>
    <col min="4" max="4" width="8.5703125" style="74" customWidth="1"/>
    <col min="5" max="5" width="44.42578125" bestFit="1" customWidth="1"/>
    <col min="6" max="6" width="16.28515625" customWidth="1"/>
    <col min="7" max="11" width="15.140625" customWidth="1"/>
    <col min="12" max="12" width="17.28515625" customWidth="1"/>
    <col min="13" max="16" width="15.140625" customWidth="1"/>
    <col min="17" max="17" width="18.28515625" customWidth="1"/>
    <col min="18" max="18" width="16.28515625" bestFit="1" customWidth="1"/>
  </cols>
  <sheetData>
    <row r="5" spans="1:18" ht="15.75" thickBot="1"/>
    <row r="6" spans="1:18" s="89" customFormat="1" ht="15.75" thickBot="1">
      <c r="A6" s="598" t="s">
        <v>123</v>
      </c>
      <c r="B6" s="599"/>
      <c r="C6" s="599"/>
      <c r="D6" s="599"/>
      <c r="E6" s="599"/>
      <c r="F6" s="599"/>
      <c r="G6" s="599"/>
      <c r="H6" s="599"/>
      <c r="I6" s="599"/>
      <c r="J6" s="599"/>
      <c r="K6" s="599"/>
      <c r="L6" s="599"/>
      <c r="M6" s="599"/>
      <c r="N6" s="599"/>
      <c r="O6" s="599"/>
      <c r="P6" s="599"/>
      <c r="Q6" s="599"/>
      <c r="R6" s="600"/>
    </row>
    <row r="7" spans="1:18" ht="15.75" thickBot="1"/>
    <row r="8" spans="1:18" ht="15.75" thickBot="1">
      <c r="A8" s="90" t="s">
        <v>124</v>
      </c>
      <c r="B8" s="90" t="s">
        <v>32</v>
      </c>
      <c r="C8" s="90" t="s">
        <v>125</v>
      </c>
      <c r="D8" s="90" t="s">
        <v>126</v>
      </c>
      <c r="E8" s="90" t="s">
        <v>46</v>
      </c>
      <c r="F8" s="91" t="s">
        <v>110</v>
      </c>
      <c r="G8" s="91" t="s">
        <v>111</v>
      </c>
      <c r="H8" s="91" t="s">
        <v>112</v>
      </c>
      <c r="I8" s="91" t="s">
        <v>113</v>
      </c>
      <c r="J8" s="91" t="s">
        <v>114</v>
      </c>
      <c r="K8" s="91" t="s">
        <v>115</v>
      </c>
      <c r="L8" s="91" t="s">
        <v>116</v>
      </c>
      <c r="M8" s="91" t="s">
        <v>117</v>
      </c>
      <c r="N8" s="91" t="s">
        <v>118</v>
      </c>
      <c r="O8" s="91" t="s">
        <v>119</v>
      </c>
      <c r="P8" s="91" t="s">
        <v>120</v>
      </c>
      <c r="Q8" s="91" t="s">
        <v>121</v>
      </c>
      <c r="R8" s="91" t="s">
        <v>44</v>
      </c>
    </row>
    <row r="9" spans="1:18" s="98" customFormat="1" ht="15" customHeight="1">
      <c r="A9" s="92">
        <v>2001</v>
      </c>
      <c r="B9" s="93" t="s">
        <v>127</v>
      </c>
      <c r="C9" s="94">
        <v>2</v>
      </c>
      <c r="D9" s="92">
        <v>11301</v>
      </c>
      <c r="E9" s="95" t="s">
        <v>128</v>
      </c>
      <c r="F9" s="96">
        <v>52727.22</v>
      </c>
      <c r="G9" s="96">
        <v>52727.22</v>
      </c>
      <c r="H9" s="96">
        <v>52727.22</v>
      </c>
      <c r="I9" s="96">
        <v>52727.22</v>
      </c>
      <c r="J9" s="96">
        <v>52727.22</v>
      </c>
      <c r="K9" s="96">
        <v>52727.22</v>
      </c>
      <c r="L9" s="96">
        <v>52727.22</v>
      </c>
      <c r="M9" s="96">
        <v>52727.22</v>
      </c>
      <c r="N9" s="96">
        <v>52727.22</v>
      </c>
      <c r="O9" s="96">
        <v>52727.22</v>
      </c>
      <c r="P9" s="96">
        <v>52727.22</v>
      </c>
      <c r="Q9" s="96">
        <v>52727.27</v>
      </c>
      <c r="R9" s="97">
        <f t="shared" ref="R9:R72" si="0">SUM(F9:Q9)</f>
        <v>632726.68999999983</v>
      </c>
    </row>
    <row r="10" spans="1:18" s="98" customFormat="1" ht="15" customHeight="1">
      <c r="A10" s="92">
        <v>2001</v>
      </c>
      <c r="B10" s="93" t="s">
        <v>127</v>
      </c>
      <c r="C10" s="94">
        <v>2</v>
      </c>
      <c r="D10" s="92">
        <v>11302</v>
      </c>
      <c r="E10" s="95" t="s">
        <v>129</v>
      </c>
      <c r="F10" s="96">
        <v>52727.22</v>
      </c>
      <c r="G10" s="96">
        <v>52727.22</v>
      </c>
      <c r="H10" s="96">
        <v>52727.22</v>
      </c>
      <c r="I10" s="96">
        <v>52727.22</v>
      </c>
      <c r="J10" s="96">
        <v>52727.22</v>
      </c>
      <c r="K10" s="96">
        <v>52727.22</v>
      </c>
      <c r="L10" s="96">
        <v>52727.22</v>
      </c>
      <c r="M10" s="96">
        <v>52727.22</v>
      </c>
      <c r="N10" s="96">
        <v>52727.22</v>
      </c>
      <c r="O10" s="96">
        <v>52727.22</v>
      </c>
      <c r="P10" s="96">
        <v>52727.22</v>
      </c>
      <c r="Q10" s="96">
        <v>52727.27</v>
      </c>
      <c r="R10" s="97">
        <f t="shared" si="0"/>
        <v>632726.68999999983</v>
      </c>
    </row>
    <row r="11" spans="1:18" s="98" customFormat="1" ht="15" customHeight="1">
      <c r="A11" s="92">
        <v>2001</v>
      </c>
      <c r="B11" s="93" t="s">
        <v>127</v>
      </c>
      <c r="C11" s="94">
        <v>2</v>
      </c>
      <c r="D11" s="92">
        <v>11303</v>
      </c>
      <c r="E11" s="95" t="s">
        <v>130</v>
      </c>
      <c r="F11" s="96">
        <v>19846.32</v>
      </c>
      <c r="G11" s="96">
        <v>19846.32</v>
      </c>
      <c r="H11" s="96">
        <v>19846.32</v>
      </c>
      <c r="I11" s="96">
        <v>19846.32</v>
      </c>
      <c r="J11" s="96">
        <v>19846.32</v>
      </c>
      <c r="K11" s="96">
        <v>19846.32</v>
      </c>
      <c r="L11" s="96">
        <v>19846.32</v>
      </c>
      <c r="M11" s="96">
        <v>19846.32</v>
      </c>
      <c r="N11" s="96">
        <v>19846.32</v>
      </c>
      <c r="O11" s="96">
        <v>19846.32</v>
      </c>
      <c r="P11" s="96">
        <v>19846.32</v>
      </c>
      <c r="Q11" s="96">
        <v>19846.330000000002</v>
      </c>
      <c r="R11" s="97">
        <f t="shared" si="0"/>
        <v>238155.85000000003</v>
      </c>
    </row>
    <row r="12" spans="1:18" s="98" customFormat="1" ht="15" customHeight="1">
      <c r="A12" s="92">
        <v>2001</v>
      </c>
      <c r="B12" s="93" t="s">
        <v>127</v>
      </c>
      <c r="C12" s="94">
        <v>2</v>
      </c>
      <c r="D12" s="92">
        <v>11304</v>
      </c>
      <c r="E12" s="95" t="s">
        <v>131</v>
      </c>
      <c r="F12" s="96">
        <v>30039.86</v>
      </c>
      <c r="G12" s="96">
        <v>30039.86</v>
      </c>
      <c r="H12" s="96">
        <v>30039.86</v>
      </c>
      <c r="I12" s="96">
        <v>30039.86</v>
      </c>
      <c r="J12" s="96">
        <v>30039.86</v>
      </c>
      <c r="K12" s="96">
        <v>30039.86</v>
      </c>
      <c r="L12" s="96">
        <v>30039.86</v>
      </c>
      <c r="M12" s="96">
        <v>30039.86</v>
      </c>
      <c r="N12" s="96">
        <v>30039.86</v>
      </c>
      <c r="O12" s="96">
        <v>30039.86</v>
      </c>
      <c r="P12" s="96">
        <v>30039.86</v>
      </c>
      <c r="Q12" s="96">
        <v>30039.97</v>
      </c>
      <c r="R12" s="97">
        <f t="shared" si="0"/>
        <v>360478.42999999993</v>
      </c>
    </row>
    <row r="13" spans="1:18" s="98" customFormat="1" ht="15" customHeight="1">
      <c r="A13" s="92">
        <v>2001</v>
      </c>
      <c r="B13" s="93" t="s">
        <v>127</v>
      </c>
      <c r="C13" s="94">
        <v>2</v>
      </c>
      <c r="D13" s="92">
        <v>13101</v>
      </c>
      <c r="E13" s="95" t="s">
        <v>132</v>
      </c>
      <c r="F13" s="96">
        <v>2076.2000000000003</v>
      </c>
      <c r="G13" s="96">
        <v>2076.2000000000003</v>
      </c>
      <c r="H13" s="96">
        <v>2076.2000000000003</v>
      </c>
      <c r="I13" s="96">
        <v>2076.2000000000003</v>
      </c>
      <c r="J13" s="96">
        <v>2076.2000000000003</v>
      </c>
      <c r="K13" s="96">
        <v>2076.2000000000003</v>
      </c>
      <c r="L13" s="96">
        <v>2076.2000000000003</v>
      </c>
      <c r="M13" s="96">
        <v>2076.2000000000003</v>
      </c>
      <c r="N13" s="96">
        <v>2076.2000000000003</v>
      </c>
      <c r="O13" s="96">
        <v>2076.2000000000003</v>
      </c>
      <c r="P13" s="96">
        <v>2076.2000000000003</v>
      </c>
      <c r="Q13" s="96">
        <v>2076.2000000000003</v>
      </c>
      <c r="R13" s="97">
        <f t="shared" si="0"/>
        <v>24914.400000000005</v>
      </c>
    </row>
    <row r="14" spans="1:18" s="98" customFormat="1" ht="15" customHeight="1">
      <c r="A14" s="92">
        <v>2001</v>
      </c>
      <c r="B14" s="93" t="s">
        <v>127</v>
      </c>
      <c r="C14" s="94">
        <v>2</v>
      </c>
      <c r="D14" s="92">
        <v>13201</v>
      </c>
      <c r="E14" s="95" t="s">
        <v>133</v>
      </c>
      <c r="F14" s="96">
        <v>3120.08</v>
      </c>
      <c r="G14" s="96">
        <v>3120.08</v>
      </c>
      <c r="H14" s="96">
        <v>3120.08</v>
      </c>
      <c r="I14" s="96">
        <v>3120.08</v>
      </c>
      <c r="J14" s="96">
        <v>3120.08</v>
      </c>
      <c r="K14" s="96">
        <v>3120.08</v>
      </c>
      <c r="L14" s="96">
        <v>3120.08</v>
      </c>
      <c r="M14" s="96">
        <v>3120.08</v>
      </c>
      <c r="N14" s="96">
        <v>3120.08</v>
      </c>
      <c r="O14" s="96">
        <v>3120.08</v>
      </c>
      <c r="P14" s="96">
        <v>3120.08</v>
      </c>
      <c r="Q14" s="96">
        <v>3120.1</v>
      </c>
      <c r="R14" s="97">
        <f t="shared" si="0"/>
        <v>37440.980000000003</v>
      </c>
    </row>
    <row r="15" spans="1:18" s="98" customFormat="1" ht="15" customHeight="1">
      <c r="A15" s="92">
        <v>2001</v>
      </c>
      <c r="B15" s="93" t="s">
        <v>127</v>
      </c>
      <c r="C15" s="94">
        <v>2</v>
      </c>
      <c r="D15" s="92">
        <v>13203</v>
      </c>
      <c r="E15" s="95" t="s">
        <v>134</v>
      </c>
      <c r="F15" s="96">
        <v>38117.85</v>
      </c>
      <c r="G15" s="96">
        <v>38117.85</v>
      </c>
      <c r="H15" s="96">
        <v>38117.85</v>
      </c>
      <c r="I15" s="96">
        <v>38117.85</v>
      </c>
      <c r="J15" s="96">
        <v>38117.85</v>
      </c>
      <c r="K15" s="96">
        <v>38117.85</v>
      </c>
      <c r="L15" s="96">
        <v>38117.85</v>
      </c>
      <c r="M15" s="96">
        <v>38117.85</v>
      </c>
      <c r="N15" s="96">
        <v>38117.85</v>
      </c>
      <c r="O15" s="96">
        <v>38117.85</v>
      </c>
      <c r="P15" s="96">
        <v>38117.85</v>
      </c>
      <c r="Q15" s="96">
        <v>38117.9</v>
      </c>
      <c r="R15" s="97">
        <f t="shared" si="0"/>
        <v>457414.24999999994</v>
      </c>
    </row>
    <row r="16" spans="1:18" s="98" customFormat="1" ht="15" customHeight="1">
      <c r="A16" s="92">
        <v>2001</v>
      </c>
      <c r="B16" s="93" t="s">
        <v>127</v>
      </c>
      <c r="C16" s="94">
        <v>2</v>
      </c>
      <c r="D16" s="92">
        <v>13401</v>
      </c>
      <c r="E16" s="95" t="s">
        <v>135</v>
      </c>
      <c r="F16" s="96">
        <v>21196.09</v>
      </c>
      <c r="G16" s="96">
        <v>21196.09</v>
      </c>
      <c r="H16" s="96">
        <v>21196.09</v>
      </c>
      <c r="I16" s="96">
        <v>21196.09</v>
      </c>
      <c r="J16" s="96">
        <v>21196.09</v>
      </c>
      <c r="K16" s="96">
        <v>21196.09</v>
      </c>
      <c r="L16" s="96">
        <v>21196.09</v>
      </c>
      <c r="M16" s="96">
        <v>21196.09</v>
      </c>
      <c r="N16" s="96">
        <v>21196.09</v>
      </c>
      <c r="O16" s="96">
        <v>21196.09</v>
      </c>
      <c r="P16" s="96">
        <v>21196.09</v>
      </c>
      <c r="Q16" s="96">
        <v>21196.09</v>
      </c>
      <c r="R16" s="97">
        <f t="shared" si="0"/>
        <v>254353.08</v>
      </c>
    </row>
    <row r="17" spans="1:18" s="98" customFormat="1" ht="15" customHeight="1">
      <c r="A17" s="92">
        <v>2001</v>
      </c>
      <c r="B17" s="93" t="s">
        <v>127</v>
      </c>
      <c r="C17" s="94">
        <v>2</v>
      </c>
      <c r="D17" s="92">
        <v>14101</v>
      </c>
      <c r="E17" s="95" t="s">
        <v>136</v>
      </c>
      <c r="F17" s="96">
        <v>4466.3599999999997</v>
      </c>
      <c r="G17" s="96">
        <v>4466.3599999999997</v>
      </c>
      <c r="H17" s="96">
        <v>4466.3599999999997</v>
      </c>
      <c r="I17" s="96">
        <v>4466.3599999999997</v>
      </c>
      <c r="J17" s="96">
        <v>4466.3599999999997</v>
      </c>
      <c r="K17" s="96">
        <v>4466.3599999999997</v>
      </c>
      <c r="L17" s="96">
        <v>4466.3599999999997</v>
      </c>
      <c r="M17" s="96">
        <v>4466.3599999999997</v>
      </c>
      <c r="N17" s="96">
        <v>4466.3599999999997</v>
      </c>
      <c r="O17" s="96">
        <v>4466.3599999999997</v>
      </c>
      <c r="P17" s="96">
        <v>4466.3599999999997</v>
      </c>
      <c r="Q17" s="96">
        <v>4466.42</v>
      </c>
      <c r="R17" s="97">
        <f t="shared" si="0"/>
        <v>53596.38</v>
      </c>
    </row>
    <row r="18" spans="1:18" s="98" customFormat="1" ht="15" customHeight="1">
      <c r="A18" s="92">
        <v>2001</v>
      </c>
      <c r="B18" s="93" t="s">
        <v>127</v>
      </c>
      <c r="C18" s="94">
        <v>2</v>
      </c>
      <c r="D18" s="92">
        <v>14102</v>
      </c>
      <c r="E18" s="95" t="s">
        <v>137</v>
      </c>
      <c r="F18" s="96">
        <v>17774.02</v>
      </c>
      <c r="G18" s="96">
        <v>17774.02</v>
      </c>
      <c r="H18" s="96">
        <v>17774.02</v>
      </c>
      <c r="I18" s="96">
        <v>17774.02</v>
      </c>
      <c r="J18" s="96">
        <v>17774.02</v>
      </c>
      <c r="K18" s="96">
        <v>17774.02</v>
      </c>
      <c r="L18" s="96">
        <v>17774.02</v>
      </c>
      <c r="M18" s="96">
        <v>17774.02</v>
      </c>
      <c r="N18" s="96">
        <v>17774.02</v>
      </c>
      <c r="O18" s="96">
        <v>17774.02</v>
      </c>
      <c r="P18" s="96">
        <v>17774.02</v>
      </c>
      <c r="Q18" s="96">
        <v>17774.080000000002</v>
      </c>
      <c r="R18" s="97">
        <f t="shared" si="0"/>
        <v>213288.3</v>
      </c>
    </row>
    <row r="19" spans="1:18" s="98" customFormat="1" ht="15" customHeight="1">
      <c r="A19" s="92">
        <v>2001</v>
      </c>
      <c r="B19" s="93" t="s">
        <v>127</v>
      </c>
      <c r="C19" s="94">
        <v>2</v>
      </c>
      <c r="D19" s="92">
        <v>14103</v>
      </c>
      <c r="E19" s="95" t="s">
        <v>138</v>
      </c>
      <c r="F19" s="96">
        <v>434.26</v>
      </c>
      <c r="G19" s="96">
        <v>434.26</v>
      </c>
      <c r="H19" s="96">
        <v>434.26</v>
      </c>
      <c r="I19" s="96">
        <v>434.26</v>
      </c>
      <c r="J19" s="96">
        <v>434.26</v>
      </c>
      <c r="K19" s="96">
        <v>434.26</v>
      </c>
      <c r="L19" s="96">
        <v>434.26</v>
      </c>
      <c r="M19" s="96">
        <v>434.26</v>
      </c>
      <c r="N19" s="96">
        <v>434.26</v>
      </c>
      <c r="O19" s="96">
        <v>434.26</v>
      </c>
      <c r="P19" s="96">
        <v>434.26</v>
      </c>
      <c r="Q19" s="96">
        <v>434.37</v>
      </c>
      <c r="R19" s="97">
        <f t="shared" si="0"/>
        <v>5211.2300000000014</v>
      </c>
    </row>
    <row r="20" spans="1:18" s="98" customFormat="1" ht="15" customHeight="1">
      <c r="A20" s="92">
        <v>2001</v>
      </c>
      <c r="B20" s="93" t="s">
        <v>127</v>
      </c>
      <c r="C20" s="94">
        <v>2</v>
      </c>
      <c r="D20" s="92">
        <v>15201</v>
      </c>
      <c r="E20" s="95" t="s">
        <v>139</v>
      </c>
      <c r="F20" s="96">
        <v>732.16</v>
      </c>
      <c r="G20" s="96">
        <v>732.16</v>
      </c>
      <c r="H20" s="96">
        <v>732.16</v>
      </c>
      <c r="I20" s="96">
        <v>732.16</v>
      </c>
      <c r="J20" s="96">
        <v>732.16</v>
      </c>
      <c r="K20" s="96">
        <v>732.16</v>
      </c>
      <c r="L20" s="96">
        <v>732.16</v>
      </c>
      <c r="M20" s="96">
        <v>732.16</v>
      </c>
      <c r="N20" s="96">
        <v>732.16</v>
      </c>
      <c r="O20" s="96">
        <v>732.16</v>
      </c>
      <c r="P20" s="96">
        <v>732.16</v>
      </c>
      <c r="Q20" s="96">
        <v>732.16</v>
      </c>
      <c r="R20" s="97">
        <f t="shared" si="0"/>
        <v>8785.92</v>
      </c>
    </row>
    <row r="21" spans="1:18" s="98" customFormat="1" ht="15" customHeight="1">
      <c r="A21" s="92">
        <v>2001</v>
      </c>
      <c r="B21" s="93" t="s">
        <v>127</v>
      </c>
      <c r="C21" s="94">
        <v>2</v>
      </c>
      <c r="D21" s="92">
        <v>15401</v>
      </c>
      <c r="E21" s="95" t="s">
        <v>140</v>
      </c>
      <c r="F21" s="96">
        <v>2636.36</v>
      </c>
      <c r="G21" s="96">
        <v>2636.36</v>
      </c>
      <c r="H21" s="96">
        <v>2636.36</v>
      </c>
      <c r="I21" s="96">
        <v>2636.36</v>
      </c>
      <c r="J21" s="96">
        <v>2636.36</v>
      </c>
      <c r="K21" s="96">
        <v>2636.36</v>
      </c>
      <c r="L21" s="96">
        <v>2636.36</v>
      </c>
      <c r="M21" s="96">
        <v>2636.36</v>
      </c>
      <c r="N21" s="96">
        <v>2636.36</v>
      </c>
      <c r="O21" s="96">
        <v>2636.36</v>
      </c>
      <c r="P21" s="96">
        <v>2636.36</v>
      </c>
      <c r="Q21" s="96">
        <v>2636.37</v>
      </c>
      <c r="R21" s="97">
        <f t="shared" si="0"/>
        <v>31636.33</v>
      </c>
    </row>
    <row r="22" spans="1:18" s="98" customFormat="1" ht="15" customHeight="1">
      <c r="A22" s="92">
        <v>2001</v>
      </c>
      <c r="B22" s="93" t="s">
        <v>127</v>
      </c>
      <c r="C22" s="94">
        <v>2</v>
      </c>
      <c r="D22" s="92">
        <v>15403</v>
      </c>
      <c r="E22" s="95" t="s">
        <v>141</v>
      </c>
      <c r="F22" s="96">
        <v>271.33</v>
      </c>
      <c r="G22" s="96">
        <v>271.33</v>
      </c>
      <c r="H22" s="96">
        <v>271.33</v>
      </c>
      <c r="I22" s="96">
        <v>271.33</v>
      </c>
      <c r="J22" s="96">
        <v>271.33</v>
      </c>
      <c r="K22" s="96">
        <v>271.33</v>
      </c>
      <c r="L22" s="96">
        <v>271.33</v>
      </c>
      <c r="M22" s="96">
        <v>271.33</v>
      </c>
      <c r="N22" s="96">
        <v>271.33</v>
      </c>
      <c r="O22" s="96">
        <v>271.33</v>
      </c>
      <c r="P22" s="96">
        <v>271.33</v>
      </c>
      <c r="Q22" s="96">
        <v>271.37</v>
      </c>
      <c r="R22" s="97">
        <f t="shared" si="0"/>
        <v>3255.9999999999995</v>
      </c>
    </row>
    <row r="23" spans="1:18" s="98" customFormat="1" ht="15" customHeight="1">
      <c r="A23" s="92">
        <v>2001</v>
      </c>
      <c r="B23" s="93" t="s">
        <v>127</v>
      </c>
      <c r="C23" s="94">
        <v>2</v>
      </c>
      <c r="D23" s="92">
        <v>15404</v>
      </c>
      <c r="E23" s="95" t="s">
        <v>142</v>
      </c>
      <c r="F23" s="96">
        <v>6306.28</v>
      </c>
      <c r="G23" s="96">
        <v>6306.28</v>
      </c>
      <c r="H23" s="96">
        <v>6306.28</v>
      </c>
      <c r="I23" s="96">
        <v>6306.28</v>
      </c>
      <c r="J23" s="96">
        <v>6306.28</v>
      </c>
      <c r="K23" s="96">
        <v>6306.28</v>
      </c>
      <c r="L23" s="96">
        <v>6306.28</v>
      </c>
      <c r="M23" s="96">
        <v>6306.28</v>
      </c>
      <c r="N23" s="96">
        <v>6306.28</v>
      </c>
      <c r="O23" s="96">
        <v>6306.28</v>
      </c>
      <c r="P23" s="96">
        <v>6306.28</v>
      </c>
      <c r="Q23" s="96">
        <v>6306.3</v>
      </c>
      <c r="R23" s="97">
        <f t="shared" si="0"/>
        <v>75675.38</v>
      </c>
    </row>
    <row r="24" spans="1:18" s="98" customFormat="1" ht="15" customHeight="1">
      <c r="A24" s="92">
        <v>2001</v>
      </c>
      <c r="B24" s="93" t="s">
        <v>127</v>
      </c>
      <c r="C24" s="94">
        <v>2</v>
      </c>
      <c r="D24" s="92">
        <v>15405</v>
      </c>
      <c r="E24" s="95" t="s">
        <v>143</v>
      </c>
      <c r="F24" s="96">
        <v>1523.04</v>
      </c>
      <c r="G24" s="96">
        <v>1523.04</v>
      </c>
      <c r="H24" s="96">
        <v>1523.04</v>
      </c>
      <c r="I24" s="96">
        <v>1523.04</v>
      </c>
      <c r="J24" s="96">
        <v>1523.04</v>
      </c>
      <c r="K24" s="96">
        <v>1523.04</v>
      </c>
      <c r="L24" s="96">
        <v>1523.04</v>
      </c>
      <c r="M24" s="96">
        <v>1523.04</v>
      </c>
      <c r="N24" s="96">
        <v>1523.04</v>
      </c>
      <c r="O24" s="96">
        <v>1523.04</v>
      </c>
      <c r="P24" s="96">
        <v>1523.04</v>
      </c>
      <c r="Q24" s="96">
        <v>1523.04</v>
      </c>
      <c r="R24" s="97">
        <f t="shared" si="0"/>
        <v>18276.480000000003</v>
      </c>
    </row>
    <row r="25" spans="1:18" s="98" customFormat="1" ht="15" customHeight="1">
      <c r="A25" s="92">
        <v>2001</v>
      </c>
      <c r="B25" s="93" t="s">
        <v>127</v>
      </c>
      <c r="C25" s="94">
        <v>2</v>
      </c>
      <c r="D25" s="92">
        <v>15407</v>
      </c>
      <c r="E25" s="95" t="s">
        <v>144</v>
      </c>
      <c r="F25" s="99">
        <v>1186.5</v>
      </c>
      <c r="G25" s="99">
        <v>1186.5</v>
      </c>
      <c r="H25" s="99">
        <v>1186.5</v>
      </c>
      <c r="I25" s="99">
        <v>1186.5</v>
      </c>
      <c r="J25" s="99">
        <v>1186.5</v>
      </c>
      <c r="K25" s="99">
        <v>1186.5</v>
      </c>
      <c r="L25" s="99">
        <v>1186.5</v>
      </c>
      <c r="M25" s="99">
        <v>1186.5</v>
      </c>
      <c r="N25" s="99">
        <v>1186.5</v>
      </c>
      <c r="O25" s="99">
        <v>1186.5</v>
      </c>
      <c r="P25" s="99">
        <v>1186.5</v>
      </c>
      <c r="Q25" s="99">
        <v>1186.5</v>
      </c>
      <c r="R25" s="97">
        <f t="shared" si="0"/>
        <v>14238</v>
      </c>
    </row>
    <row r="26" spans="1:18" s="98" customFormat="1" ht="15" customHeight="1">
      <c r="A26" s="92">
        <v>2001</v>
      </c>
      <c r="B26" s="93" t="s">
        <v>127</v>
      </c>
      <c r="C26" s="94">
        <v>2</v>
      </c>
      <c r="D26" s="92">
        <v>15902</v>
      </c>
      <c r="E26" s="95" t="s">
        <v>145</v>
      </c>
      <c r="F26" s="96">
        <v>0</v>
      </c>
      <c r="G26" s="96">
        <v>0</v>
      </c>
      <c r="H26" s="96">
        <v>0</v>
      </c>
      <c r="I26" s="96">
        <v>0</v>
      </c>
      <c r="J26" s="96">
        <v>0</v>
      </c>
      <c r="K26" s="96">
        <v>0</v>
      </c>
      <c r="L26" s="96">
        <v>0</v>
      </c>
      <c r="M26" s="96">
        <v>450</v>
      </c>
      <c r="N26" s="96">
        <v>0</v>
      </c>
      <c r="O26" s="96">
        <v>0</v>
      </c>
      <c r="P26" s="96">
        <v>0</v>
      </c>
      <c r="Q26" s="96">
        <v>0</v>
      </c>
      <c r="R26" s="97">
        <f t="shared" si="0"/>
        <v>450</v>
      </c>
    </row>
    <row r="27" spans="1:18" s="98" customFormat="1" ht="15" customHeight="1">
      <c r="A27" s="92">
        <v>2001</v>
      </c>
      <c r="B27" s="93" t="s">
        <v>127</v>
      </c>
      <c r="C27" s="94">
        <v>2</v>
      </c>
      <c r="D27" s="92">
        <v>15903</v>
      </c>
      <c r="E27" s="95" t="s">
        <v>146</v>
      </c>
      <c r="F27" s="96">
        <v>0</v>
      </c>
      <c r="G27" s="96">
        <v>0</v>
      </c>
      <c r="H27" s="96">
        <v>0</v>
      </c>
      <c r="I27" s="96">
        <v>0</v>
      </c>
      <c r="J27" s="96">
        <v>0</v>
      </c>
      <c r="K27" s="96">
        <v>0</v>
      </c>
      <c r="L27" s="96">
        <v>0</v>
      </c>
      <c r="M27" s="96">
        <v>19200</v>
      </c>
      <c r="N27" s="96"/>
      <c r="O27" s="96"/>
      <c r="P27" s="96">
        <v>0</v>
      </c>
      <c r="Q27" s="96">
        <v>0</v>
      </c>
      <c r="R27" s="97">
        <f t="shared" si="0"/>
        <v>19200</v>
      </c>
    </row>
    <row r="28" spans="1:18" s="98" customFormat="1" ht="15" customHeight="1">
      <c r="A28" s="92">
        <v>2001</v>
      </c>
      <c r="B28" s="93" t="s">
        <v>127</v>
      </c>
      <c r="C28" s="94">
        <v>2</v>
      </c>
      <c r="D28" s="92">
        <v>15904</v>
      </c>
      <c r="E28" s="95" t="s">
        <v>147</v>
      </c>
      <c r="F28" s="96">
        <v>0</v>
      </c>
      <c r="G28" s="96">
        <v>0</v>
      </c>
      <c r="H28" s="96">
        <v>0</v>
      </c>
      <c r="I28" s="96">
        <v>0</v>
      </c>
      <c r="J28" s="96">
        <v>21000</v>
      </c>
      <c r="K28" s="96">
        <v>0</v>
      </c>
      <c r="L28" s="96">
        <v>0</v>
      </c>
      <c r="M28" s="96">
        <v>0</v>
      </c>
      <c r="N28" s="96">
        <v>0</v>
      </c>
      <c r="O28" s="96">
        <v>0</v>
      </c>
      <c r="P28" s="96">
        <v>0</v>
      </c>
      <c r="Q28" s="96">
        <v>0</v>
      </c>
      <c r="R28" s="97">
        <f t="shared" si="0"/>
        <v>21000</v>
      </c>
    </row>
    <row r="29" spans="1:18" s="98" customFormat="1" ht="15" customHeight="1">
      <c r="A29" s="92">
        <v>2001</v>
      </c>
      <c r="B29" s="93" t="s">
        <v>127</v>
      </c>
      <c r="C29" s="94">
        <v>2</v>
      </c>
      <c r="D29" s="92">
        <v>15905</v>
      </c>
      <c r="E29" s="95" t="s">
        <v>148</v>
      </c>
      <c r="F29" s="96">
        <v>0</v>
      </c>
      <c r="G29" s="96">
        <v>0</v>
      </c>
      <c r="H29" s="96">
        <v>0</v>
      </c>
      <c r="I29" s="96">
        <v>0</v>
      </c>
      <c r="J29" s="96">
        <v>0</v>
      </c>
      <c r="K29" s="96">
        <v>2400</v>
      </c>
      <c r="L29" s="96">
        <v>0</v>
      </c>
      <c r="M29" s="96">
        <v>0</v>
      </c>
      <c r="N29" s="96">
        <v>0</v>
      </c>
      <c r="O29" s="96">
        <v>0</v>
      </c>
      <c r="P29" s="96">
        <v>0</v>
      </c>
      <c r="Q29" s="96">
        <v>0</v>
      </c>
      <c r="R29" s="97">
        <f t="shared" si="0"/>
        <v>2400</v>
      </c>
    </row>
    <row r="30" spans="1:18" s="98" customFormat="1" ht="15" customHeight="1">
      <c r="A30" s="92">
        <v>2001</v>
      </c>
      <c r="B30" s="93" t="s">
        <v>127</v>
      </c>
      <c r="C30" s="94">
        <v>2</v>
      </c>
      <c r="D30" s="92">
        <v>17101</v>
      </c>
      <c r="E30" s="95" t="s">
        <v>149</v>
      </c>
      <c r="F30" s="96">
        <v>73417.72</v>
      </c>
      <c r="G30" s="96">
        <v>73417.72</v>
      </c>
      <c r="H30" s="96">
        <v>73417.72</v>
      </c>
      <c r="I30" s="96">
        <v>73417.72</v>
      </c>
      <c r="J30" s="96">
        <v>73417.72</v>
      </c>
      <c r="K30" s="96">
        <v>73417.72</v>
      </c>
      <c r="L30" s="96">
        <v>73417.72</v>
      </c>
      <c r="M30" s="96">
        <v>73417.72</v>
      </c>
      <c r="N30" s="96">
        <v>73417.72</v>
      </c>
      <c r="O30" s="96">
        <v>73417.72</v>
      </c>
      <c r="P30" s="96">
        <v>73417.72</v>
      </c>
      <c r="Q30" s="96">
        <v>73417.72</v>
      </c>
      <c r="R30" s="97">
        <f t="shared" si="0"/>
        <v>881012.63999999978</v>
      </c>
    </row>
    <row r="31" spans="1:18" s="98" customFormat="1" ht="15" customHeight="1">
      <c r="A31" s="94">
        <v>2001</v>
      </c>
      <c r="B31" s="93" t="s">
        <v>127</v>
      </c>
      <c r="C31" s="94">
        <v>2</v>
      </c>
      <c r="D31" s="94">
        <v>21101</v>
      </c>
      <c r="E31" s="93" t="s">
        <v>150</v>
      </c>
      <c r="F31" s="99">
        <v>1500</v>
      </c>
      <c r="G31" s="99">
        <v>1500</v>
      </c>
      <c r="H31" s="99">
        <v>1500</v>
      </c>
      <c r="I31" s="99">
        <v>1500</v>
      </c>
      <c r="J31" s="99">
        <v>101500</v>
      </c>
      <c r="K31" s="99">
        <v>1500</v>
      </c>
      <c r="L31" s="99">
        <v>1500</v>
      </c>
      <c r="M31" s="99">
        <v>1500</v>
      </c>
      <c r="N31" s="99">
        <v>1500</v>
      </c>
      <c r="O31" s="99">
        <v>1500</v>
      </c>
      <c r="P31" s="99">
        <v>1500</v>
      </c>
      <c r="Q31" s="99">
        <v>1500</v>
      </c>
      <c r="R31" s="97">
        <f t="shared" si="0"/>
        <v>118000</v>
      </c>
    </row>
    <row r="32" spans="1:18" s="98" customFormat="1" ht="15" customHeight="1">
      <c r="A32" s="94">
        <v>2001</v>
      </c>
      <c r="B32" s="93" t="s">
        <v>127</v>
      </c>
      <c r="C32" s="94">
        <v>2</v>
      </c>
      <c r="D32" s="94">
        <v>21401</v>
      </c>
      <c r="E32" s="93" t="s">
        <v>151</v>
      </c>
      <c r="F32" s="99">
        <v>2000</v>
      </c>
      <c r="G32" s="99">
        <v>2000</v>
      </c>
      <c r="H32" s="99">
        <v>2000</v>
      </c>
      <c r="I32" s="99">
        <v>2000</v>
      </c>
      <c r="J32" s="99">
        <v>102000</v>
      </c>
      <c r="K32" s="99">
        <v>2000</v>
      </c>
      <c r="L32" s="99">
        <v>2000</v>
      </c>
      <c r="M32" s="99">
        <v>2000</v>
      </c>
      <c r="N32" s="99">
        <v>2000</v>
      </c>
      <c r="O32" s="99">
        <v>2000</v>
      </c>
      <c r="P32" s="99">
        <v>2000</v>
      </c>
      <c r="Q32" s="99">
        <v>2000</v>
      </c>
      <c r="R32" s="97">
        <f t="shared" si="0"/>
        <v>124000</v>
      </c>
    </row>
    <row r="33" spans="1:18" s="98" customFormat="1" ht="15" customHeight="1">
      <c r="A33" s="94">
        <v>2001</v>
      </c>
      <c r="B33" s="93" t="s">
        <v>127</v>
      </c>
      <c r="C33" s="94">
        <v>2</v>
      </c>
      <c r="D33" s="94">
        <v>22101</v>
      </c>
      <c r="E33" s="93" t="s">
        <v>152</v>
      </c>
      <c r="F33" s="99">
        <v>2000</v>
      </c>
      <c r="G33" s="99">
        <v>2000</v>
      </c>
      <c r="H33" s="99">
        <v>2000</v>
      </c>
      <c r="I33" s="99">
        <v>2000</v>
      </c>
      <c r="J33" s="99">
        <v>2000</v>
      </c>
      <c r="K33" s="99">
        <v>2000</v>
      </c>
      <c r="L33" s="99">
        <v>2000</v>
      </c>
      <c r="M33" s="99">
        <v>2000</v>
      </c>
      <c r="N33" s="99">
        <v>22000</v>
      </c>
      <c r="O33" s="99">
        <v>2000</v>
      </c>
      <c r="P33" s="99">
        <v>22000</v>
      </c>
      <c r="Q33" s="99">
        <v>2000</v>
      </c>
      <c r="R33" s="97">
        <f t="shared" si="0"/>
        <v>64000</v>
      </c>
    </row>
    <row r="34" spans="1:18" s="98" customFormat="1" ht="15" customHeight="1">
      <c r="A34" s="94">
        <v>2001</v>
      </c>
      <c r="B34" s="93" t="s">
        <v>127</v>
      </c>
      <c r="C34" s="94">
        <v>2</v>
      </c>
      <c r="D34" s="94">
        <v>26101</v>
      </c>
      <c r="E34" s="93" t="s">
        <v>153</v>
      </c>
      <c r="F34" s="99">
        <v>487916.66666668159</v>
      </c>
      <c r="G34" s="99">
        <v>487916.66666668159</v>
      </c>
      <c r="H34" s="99">
        <v>487916.66666668159</v>
      </c>
      <c r="I34" s="99">
        <v>487916.66666668159</v>
      </c>
      <c r="J34" s="99">
        <v>487916.66666668159</v>
      </c>
      <c r="K34" s="99">
        <v>487916.66666668159</v>
      </c>
      <c r="L34" s="99">
        <v>487916.66666668159</v>
      </c>
      <c r="M34" s="99">
        <v>487916.66666668159</v>
      </c>
      <c r="N34" s="99">
        <v>487916.66666668159</v>
      </c>
      <c r="O34" s="99">
        <v>487916.66666668159</v>
      </c>
      <c r="P34" s="99">
        <v>487916.66666668159</v>
      </c>
      <c r="Q34" s="99">
        <v>487916.66666668159</v>
      </c>
      <c r="R34" s="97">
        <f t="shared" si="0"/>
        <v>5855000.0000001797</v>
      </c>
    </row>
    <row r="35" spans="1:18" s="98" customFormat="1" ht="15" customHeight="1">
      <c r="A35" s="94">
        <v>2001</v>
      </c>
      <c r="B35" s="93" t="s">
        <v>127</v>
      </c>
      <c r="C35" s="94">
        <v>2</v>
      </c>
      <c r="D35" s="94">
        <v>29301</v>
      </c>
      <c r="E35" s="93" t="s">
        <v>154</v>
      </c>
      <c r="F35" s="99">
        <v>1500</v>
      </c>
      <c r="G35" s="99"/>
      <c r="H35" s="99"/>
      <c r="I35" s="99"/>
      <c r="J35" s="99"/>
      <c r="K35" s="99"/>
      <c r="L35" s="99"/>
      <c r="M35" s="99"/>
      <c r="N35" s="99"/>
      <c r="O35" s="99"/>
      <c r="P35" s="99"/>
      <c r="Q35" s="99"/>
      <c r="R35" s="97">
        <f t="shared" si="0"/>
        <v>1500</v>
      </c>
    </row>
    <row r="36" spans="1:18" s="98" customFormat="1" ht="15" customHeight="1">
      <c r="A36" s="94">
        <v>2001</v>
      </c>
      <c r="B36" s="93" t="s">
        <v>127</v>
      </c>
      <c r="C36" s="94">
        <v>2</v>
      </c>
      <c r="D36" s="94">
        <v>29401</v>
      </c>
      <c r="E36" s="93" t="s">
        <v>155</v>
      </c>
      <c r="F36" s="99">
        <v>1000</v>
      </c>
      <c r="G36" s="99">
        <v>1000</v>
      </c>
      <c r="H36" s="99">
        <v>1000</v>
      </c>
      <c r="I36" s="99">
        <v>2000</v>
      </c>
      <c r="J36" s="99">
        <v>1000</v>
      </c>
      <c r="K36" s="99">
        <v>1000</v>
      </c>
      <c r="L36" s="99">
        <v>1000</v>
      </c>
      <c r="M36" s="99">
        <v>1000</v>
      </c>
      <c r="N36" s="99">
        <v>2000</v>
      </c>
      <c r="O36" s="99">
        <v>1000</v>
      </c>
      <c r="P36" s="99">
        <v>1000</v>
      </c>
      <c r="Q36" s="99">
        <v>2050</v>
      </c>
      <c r="R36" s="97">
        <f t="shared" si="0"/>
        <v>15050</v>
      </c>
    </row>
    <row r="37" spans="1:18" s="98" customFormat="1" ht="15" customHeight="1">
      <c r="A37" s="94">
        <v>2001</v>
      </c>
      <c r="B37" s="93" t="s">
        <v>127</v>
      </c>
      <c r="C37" s="94">
        <v>2</v>
      </c>
      <c r="D37" s="94">
        <v>29602</v>
      </c>
      <c r="E37" s="93" t="s">
        <v>156</v>
      </c>
      <c r="F37" s="99">
        <v>980</v>
      </c>
      <c r="G37" s="99"/>
      <c r="H37" s="99"/>
      <c r="I37" s="99"/>
      <c r="J37" s="99"/>
      <c r="K37" s="99"/>
      <c r="L37" s="99">
        <v>980</v>
      </c>
      <c r="M37" s="99"/>
      <c r="N37" s="99"/>
      <c r="O37" s="99"/>
      <c r="P37" s="99"/>
      <c r="Q37" s="99"/>
      <c r="R37" s="97">
        <f t="shared" si="0"/>
        <v>1960</v>
      </c>
    </row>
    <row r="38" spans="1:18" s="98" customFormat="1" ht="15" customHeight="1">
      <c r="A38" s="94">
        <v>2001</v>
      </c>
      <c r="B38" s="93" t="s">
        <v>127</v>
      </c>
      <c r="C38" s="94">
        <v>2</v>
      </c>
      <c r="D38" s="94">
        <v>31101</v>
      </c>
      <c r="E38" s="93" t="s">
        <v>157</v>
      </c>
      <c r="F38" s="99">
        <v>1305</v>
      </c>
      <c r="G38" s="99">
        <v>1305</v>
      </c>
      <c r="H38" s="99">
        <v>1305</v>
      </c>
      <c r="I38" s="99">
        <v>1305</v>
      </c>
      <c r="J38" s="99">
        <v>1305</v>
      </c>
      <c r="K38" s="99">
        <v>1305</v>
      </c>
      <c r="L38" s="99">
        <v>1305</v>
      </c>
      <c r="M38" s="99">
        <v>1305</v>
      </c>
      <c r="N38" s="99">
        <v>1305</v>
      </c>
      <c r="O38" s="99">
        <v>1305</v>
      </c>
      <c r="P38" s="99">
        <v>1305</v>
      </c>
      <c r="Q38" s="99">
        <v>1305</v>
      </c>
      <c r="R38" s="97">
        <f t="shared" si="0"/>
        <v>15660</v>
      </c>
    </row>
    <row r="39" spans="1:18" s="98" customFormat="1" ht="15" customHeight="1">
      <c r="A39" s="94">
        <v>2001</v>
      </c>
      <c r="B39" s="93" t="s">
        <v>127</v>
      </c>
      <c r="C39" s="94">
        <v>2</v>
      </c>
      <c r="D39" s="94">
        <v>31401</v>
      </c>
      <c r="E39" s="93" t="s">
        <v>158</v>
      </c>
      <c r="F39" s="99">
        <v>16414</v>
      </c>
      <c r="G39" s="99">
        <v>16414</v>
      </c>
      <c r="H39" s="99">
        <v>16414</v>
      </c>
      <c r="I39" s="99">
        <v>49747.33</v>
      </c>
      <c r="J39" s="99">
        <v>16414</v>
      </c>
      <c r="K39" s="99">
        <v>49747.33</v>
      </c>
      <c r="L39" s="99">
        <v>49747.33</v>
      </c>
      <c r="M39" s="99">
        <v>16414</v>
      </c>
      <c r="N39" s="99">
        <v>16414</v>
      </c>
      <c r="O39" s="99">
        <v>16414</v>
      </c>
      <c r="P39" s="99">
        <v>16414</v>
      </c>
      <c r="Q39" s="99">
        <v>16414</v>
      </c>
      <c r="R39" s="97">
        <f t="shared" si="0"/>
        <v>296967.99</v>
      </c>
    </row>
    <row r="40" spans="1:18" s="98" customFormat="1" ht="15" customHeight="1">
      <c r="A40" s="94">
        <v>2001</v>
      </c>
      <c r="B40" s="93" t="s">
        <v>127</v>
      </c>
      <c r="C40" s="94">
        <v>2</v>
      </c>
      <c r="D40" s="92">
        <v>33601</v>
      </c>
      <c r="E40" s="95" t="s">
        <v>159</v>
      </c>
      <c r="F40" s="99">
        <v>5000</v>
      </c>
      <c r="G40" s="99"/>
      <c r="H40" s="99"/>
      <c r="I40" s="99"/>
      <c r="J40" s="99"/>
      <c r="K40" s="99"/>
      <c r="L40" s="99">
        <v>5000</v>
      </c>
      <c r="M40" s="99"/>
      <c r="N40" s="99"/>
      <c r="O40" s="99"/>
      <c r="P40" s="99"/>
      <c r="Q40" s="99"/>
      <c r="R40" s="97">
        <f t="shared" si="0"/>
        <v>10000</v>
      </c>
    </row>
    <row r="41" spans="1:18" s="98" customFormat="1" ht="15" customHeight="1">
      <c r="A41" s="94">
        <v>2001</v>
      </c>
      <c r="B41" s="93" t="s">
        <v>127</v>
      </c>
      <c r="C41" s="94">
        <v>2</v>
      </c>
      <c r="D41" s="92">
        <v>33902</v>
      </c>
      <c r="E41" s="100" t="s">
        <v>160</v>
      </c>
      <c r="F41" s="99"/>
      <c r="G41" s="99">
        <v>12500</v>
      </c>
      <c r="H41" s="99"/>
      <c r="I41" s="99"/>
      <c r="J41" s="99"/>
      <c r="K41" s="99"/>
      <c r="L41" s="99">
        <v>12500</v>
      </c>
      <c r="M41" s="99"/>
      <c r="N41" s="99"/>
      <c r="O41" s="99"/>
      <c r="P41" s="99"/>
      <c r="Q41" s="99"/>
      <c r="R41" s="97">
        <f t="shared" si="0"/>
        <v>25000</v>
      </c>
    </row>
    <row r="42" spans="1:18" s="98" customFormat="1" ht="15" customHeight="1">
      <c r="A42" s="94">
        <v>2001</v>
      </c>
      <c r="B42" s="93" t="s">
        <v>127</v>
      </c>
      <c r="C42" s="94">
        <v>2</v>
      </c>
      <c r="D42" s="94">
        <v>34101</v>
      </c>
      <c r="E42" s="93" t="s">
        <v>161</v>
      </c>
      <c r="F42" s="99">
        <v>431000</v>
      </c>
      <c r="G42" s="99">
        <v>217331.23</v>
      </c>
      <c r="H42" s="99">
        <v>175000</v>
      </c>
      <c r="I42" s="99">
        <v>204000</v>
      </c>
      <c r="J42" s="99">
        <v>240000</v>
      </c>
      <c r="K42" s="99">
        <v>164000</v>
      </c>
      <c r="L42" s="99">
        <v>164000</v>
      </c>
      <c r="M42" s="99">
        <v>267000</v>
      </c>
      <c r="N42" s="99">
        <v>176000</v>
      </c>
      <c r="O42" s="99">
        <v>176000</v>
      </c>
      <c r="P42" s="99">
        <v>213000</v>
      </c>
      <c r="Q42" s="99">
        <v>446664.13</v>
      </c>
      <c r="R42" s="97">
        <f t="shared" si="0"/>
        <v>2873995.36</v>
      </c>
    </row>
    <row r="43" spans="1:18" s="98" customFormat="1" ht="15" customHeight="1">
      <c r="A43" s="94">
        <v>2001</v>
      </c>
      <c r="B43" s="93" t="s">
        <v>127</v>
      </c>
      <c r="C43" s="94">
        <v>2</v>
      </c>
      <c r="D43" s="94">
        <v>34104</v>
      </c>
      <c r="E43" s="93" t="s">
        <v>162</v>
      </c>
      <c r="F43" s="99">
        <v>31480.425599999999</v>
      </c>
      <c r="G43" s="99">
        <v>21907.964</v>
      </c>
      <c r="H43" s="99">
        <v>22022.561600000001</v>
      </c>
      <c r="I43" s="99">
        <v>23430.482400000001</v>
      </c>
      <c r="J43" s="99">
        <v>21854.851199999997</v>
      </c>
      <c r="K43" s="99">
        <v>22646.842400000001</v>
      </c>
      <c r="L43" s="99">
        <v>22849.309600000001</v>
      </c>
      <c r="M43" s="99">
        <v>23108.560799999999</v>
      </c>
      <c r="N43" s="99">
        <v>19899.5056</v>
      </c>
      <c r="O43" s="99">
        <v>21397.147199999999</v>
      </c>
      <c r="P43" s="99">
        <v>21612.448</v>
      </c>
      <c r="Q43" s="99">
        <v>31042.3256</v>
      </c>
      <c r="R43" s="97">
        <f t="shared" si="0"/>
        <v>283252.424</v>
      </c>
    </row>
    <row r="44" spans="1:18" s="98" customFormat="1" ht="15" customHeight="1">
      <c r="A44" s="94">
        <v>2001</v>
      </c>
      <c r="B44" s="93" t="s">
        <v>127</v>
      </c>
      <c r="C44" s="94">
        <v>2</v>
      </c>
      <c r="D44" s="94">
        <v>37101</v>
      </c>
      <c r="E44" s="93" t="s">
        <v>163</v>
      </c>
      <c r="F44" s="99">
        <v>5000</v>
      </c>
      <c r="G44" s="99"/>
      <c r="H44" s="99"/>
      <c r="I44" s="99"/>
      <c r="J44" s="99"/>
      <c r="K44" s="99"/>
      <c r="L44" s="99">
        <v>5000</v>
      </c>
      <c r="M44" s="99"/>
      <c r="N44" s="99"/>
      <c r="O44" s="99"/>
      <c r="P44" s="99"/>
      <c r="Q44" s="99"/>
      <c r="R44" s="97">
        <f t="shared" si="0"/>
        <v>10000</v>
      </c>
    </row>
    <row r="45" spans="1:18" s="98" customFormat="1" ht="15" customHeight="1">
      <c r="A45" s="94">
        <v>2001</v>
      </c>
      <c r="B45" s="93" t="s">
        <v>127</v>
      </c>
      <c r="C45" s="94">
        <v>2</v>
      </c>
      <c r="D45" s="94">
        <v>37201</v>
      </c>
      <c r="E45" s="93" t="s">
        <v>164</v>
      </c>
      <c r="F45" s="99">
        <v>1000</v>
      </c>
      <c r="G45" s="99"/>
      <c r="H45" s="99"/>
      <c r="I45" s="99"/>
      <c r="J45" s="99"/>
      <c r="K45" s="99"/>
      <c r="L45" s="99">
        <v>1000</v>
      </c>
      <c r="M45" s="99"/>
      <c r="N45" s="99"/>
      <c r="O45" s="99">
        <v>1000</v>
      </c>
      <c r="P45" s="99"/>
      <c r="Q45" s="99"/>
      <c r="R45" s="97">
        <f t="shared" si="0"/>
        <v>3000</v>
      </c>
    </row>
    <row r="46" spans="1:18" s="98" customFormat="1" ht="15" customHeight="1">
      <c r="A46" s="94">
        <v>2001</v>
      </c>
      <c r="B46" s="93" t="s">
        <v>127</v>
      </c>
      <c r="C46" s="94">
        <v>2</v>
      </c>
      <c r="D46" s="94">
        <v>37202</v>
      </c>
      <c r="E46" s="93" t="s">
        <v>165</v>
      </c>
      <c r="F46" s="99">
        <v>500</v>
      </c>
      <c r="G46" s="99"/>
      <c r="H46" s="99"/>
      <c r="I46" s="99">
        <v>500</v>
      </c>
      <c r="J46" s="99"/>
      <c r="K46" s="99"/>
      <c r="L46" s="99"/>
      <c r="M46" s="99">
        <v>500</v>
      </c>
      <c r="N46" s="99"/>
      <c r="O46" s="99"/>
      <c r="P46" s="99"/>
      <c r="Q46" s="99"/>
      <c r="R46" s="97">
        <f t="shared" si="0"/>
        <v>1500</v>
      </c>
    </row>
    <row r="47" spans="1:18" s="98" customFormat="1" ht="15" customHeight="1">
      <c r="A47" s="94">
        <v>2001</v>
      </c>
      <c r="B47" s="93" t="s">
        <v>127</v>
      </c>
      <c r="C47" s="94">
        <v>2</v>
      </c>
      <c r="D47" s="94">
        <v>37203</v>
      </c>
      <c r="E47" s="93" t="s">
        <v>166</v>
      </c>
      <c r="F47" s="99"/>
      <c r="G47" s="99">
        <v>2000</v>
      </c>
      <c r="H47" s="99"/>
      <c r="I47" s="99">
        <v>2000</v>
      </c>
      <c r="J47" s="99"/>
      <c r="K47" s="99"/>
      <c r="L47" s="99"/>
      <c r="M47" s="99">
        <v>2000</v>
      </c>
      <c r="N47" s="99"/>
      <c r="O47" s="99">
        <v>2000</v>
      </c>
      <c r="P47" s="99"/>
      <c r="Q47" s="99">
        <v>2000</v>
      </c>
      <c r="R47" s="97">
        <f t="shared" si="0"/>
        <v>10000</v>
      </c>
    </row>
    <row r="48" spans="1:18" s="98" customFormat="1" ht="15" customHeight="1">
      <c r="A48" s="94">
        <v>2001</v>
      </c>
      <c r="B48" s="93" t="s">
        <v>127</v>
      </c>
      <c r="C48" s="94">
        <v>2</v>
      </c>
      <c r="D48" s="94">
        <v>37204</v>
      </c>
      <c r="E48" s="93" t="s">
        <v>167</v>
      </c>
      <c r="F48" s="99">
        <v>1500</v>
      </c>
      <c r="G48" s="99"/>
      <c r="H48" s="99"/>
      <c r="I48" s="99"/>
      <c r="J48" s="99"/>
      <c r="K48" s="99"/>
      <c r="L48" s="99">
        <v>1500</v>
      </c>
      <c r="M48" s="99"/>
      <c r="N48" s="99"/>
      <c r="O48" s="99"/>
      <c r="P48" s="99"/>
      <c r="Q48" s="99"/>
      <c r="R48" s="97">
        <f t="shared" si="0"/>
        <v>3000</v>
      </c>
    </row>
    <row r="49" spans="1:18" s="98" customFormat="1" ht="15" customHeight="1">
      <c r="A49" s="94">
        <v>2001</v>
      </c>
      <c r="B49" s="93" t="s">
        <v>127</v>
      </c>
      <c r="C49" s="94">
        <v>2</v>
      </c>
      <c r="D49" s="94">
        <v>37501</v>
      </c>
      <c r="E49" s="93" t="s">
        <v>168</v>
      </c>
      <c r="F49" s="99">
        <v>4000</v>
      </c>
      <c r="G49" s="99">
        <v>4000</v>
      </c>
      <c r="H49" s="99">
        <v>4000</v>
      </c>
      <c r="I49" s="99">
        <v>4000</v>
      </c>
      <c r="J49" s="99">
        <v>4000</v>
      </c>
      <c r="K49" s="99">
        <v>4000</v>
      </c>
      <c r="L49" s="99">
        <v>4000</v>
      </c>
      <c r="M49" s="99">
        <v>4000</v>
      </c>
      <c r="N49" s="99">
        <v>4000</v>
      </c>
      <c r="O49" s="99">
        <v>4000</v>
      </c>
      <c r="P49" s="99">
        <v>4000</v>
      </c>
      <c r="Q49" s="99">
        <v>4000</v>
      </c>
      <c r="R49" s="97">
        <f t="shared" si="0"/>
        <v>48000</v>
      </c>
    </row>
    <row r="50" spans="1:18" s="98" customFormat="1" ht="15" customHeight="1">
      <c r="A50" s="94">
        <v>2001</v>
      </c>
      <c r="B50" s="93" t="s">
        <v>127</v>
      </c>
      <c r="C50" s="94">
        <v>2</v>
      </c>
      <c r="D50" s="94">
        <v>37502</v>
      </c>
      <c r="E50" s="100" t="s">
        <v>169</v>
      </c>
      <c r="F50" s="99">
        <v>1000</v>
      </c>
      <c r="G50" s="99">
        <v>1000</v>
      </c>
      <c r="H50" s="99">
        <v>1000</v>
      </c>
      <c r="I50" s="99">
        <v>1000</v>
      </c>
      <c r="J50" s="99">
        <v>1000</v>
      </c>
      <c r="K50" s="99">
        <v>1000</v>
      </c>
      <c r="L50" s="99">
        <v>1000</v>
      </c>
      <c r="M50" s="99">
        <v>1000</v>
      </c>
      <c r="N50" s="99">
        <v>1000</v>
      </c>
      <c r="O50" s="99">
        <v>1000</v>
      </c>
      <c r="P50" s="99">
        <v>1000</v>
      </c>
      <c r="Q50" s="99">
        <v>1000</v>
      </c>
      <c r="R50" s="97">
        <f t="shared" si="0"/>
        <v>12000</v>
      </c>
    </row>
    <row r="51" spans="1:18" s="98" customFormat="1" ht="15" customHeight="1">
      <c r="A51" s="94">
        <v>2001</v>
      </c>
      <c r="B51" s="93" t="s">
        <v>127</v>
      </c>
      <c r="C51" s="94">
        <v>2</v>
      </c>
      <c r="D51" s="94">
        <v>37503</v>
      </c>
      <c r="E51" s="93" t="s">
        <v>170</v>
      </c>
      <c r="F51" s="99">
        <v>1000</v>
      </c>
      <c r="G51" s="99"/>
      <c r="H51" s="99">
        <v>1000</v>
      </c>
      <c r="I51" s="99">
        <v>6666.66</v>
      </c>
      <c r="J51" s="99">
        <v>1000</v>
      </c>
      <c r="K51" s="99">
        <v>6666.66</v>
      </c>
      <c r="L51" s="99">
        <v>7666.66</v>
      </c>
      <c r="M51" s="99"/>
      <c r="N51" s="99">
        <v>1000</v>
      </c>
      <c r="O51" s="99"/>
      <c r="P51" s="99">
        <v>1000</v>
      </c>
      <c r="Q51" s="99"/>
      <c r="R51" s="97">
        <f t="shared" si="0"/>
        <v>25999.98</v>
      </c>
    </row>
    <row r="52" spans="1:18" s="98" customFormat="1" ht="15" customHeight="1">
      <c r="A52" s="94">
        <v>2001</v>
      </c>
      <c r="B52" s="93" t="s">
        <v>127</v>
      </c>
      <c r="C52" s="94">
        <v>2</v>
      </c>
      <c r="D52" s="94">
        <v>39101</v>
      </c>
      <c r="E52" s="93" t="s">
        <v>171</v>
      </c>
      <c r="F52" s="99">
        <v>30000</v>
      </c>
      <c r="G52" s="99"/>
      <c r="H52" s="99"/>
      <c r="I52" s="99">
        <v>50000</v>
      </c>
      <c r="J52" s="99">
        <v>100000</v>
      </c>
      <c r="K52" s="99"/>
      <c r="L52" s="99"/>
      <c r="M52" s="99">
        <v>50770</v>
      </c>
      <c r="N52" s="99"/>
      <c r="O52" s="99"/>
      <c r="P52" s="99">
        <v>100000</v>
      </c>
      <c r="Q52" s="99"/>
      <c r="R52" s="97">
        <f t="shared" si="0"/>
        <v>330770</v>
      </c>
    </row>
    <row r="53" spans="1:18" s="98" customFormat="1" ht="15" customHeight="1">
      <c r="A53" s="94">
        <v>2001</v>
      </c>
      <c r="B53" s="93" t="s">
        <v>127</v>
      </c>
      <c r="C53" s="94">
        <v>2</v>
      </c>
      <c r="D53" s="94">
        <v>39210</v>
      </c>
      <c r="E53" s="93" t="s">
        <v>172</v>
      </c>
      <c r="F53" s="99">
        <v>25000</v>
      </c>
      <c r="G53" s="99"/>
      <c r="H53" s="99"/>
      <c r="I53" s="99"/>
      <c r="J53" s="99"/>
      <c r="K53" s="99"/>
      <c r="L53" s="99">
        <v>25000</v>
      </c>
      <c r="M53" s="99"/>
      <c r="N53" s="99"/>
      <c r="O53" s="99"/>
      <c r="P53" s="99"/>
      <c r="Q53" s="99"/>
      <c r="R53" s="97">
        <f t="shared" si="0"/>
        <v>50000</v>
      </c>
    </row>
    <row r="54" spans="1:18" s="98" customFormat="1" ht="15" customHeight="1">
      <c r="A54" s="94">
        <v>2001</v>
      </c>
      <c r="B54" s="93" t="s">
        <v>127</v>
      </c>
      <c r="C54" s="94">
        <v>2</v>
      </c>
      <c r="D54" s="94">
        <v>39501</v>
      </c>
      <c r="E54" s="93" t="s">
        <v>173</v>
      </c>
      <c r="F54" s="99">
        <v>533123.07999999996</v>
      </c>
      <c r="G54" s="99">
        <v>2473424.4</v>
      </c>
      <c r="H54" s="99">
        <v>3660577.38</v>
      </c>
      <c r="I54" s="99">
        <v>2387347.2400000002</v>
      </c>
      <c r="J54" s="99">
        <v>2591160.3199999998</v>
      </c>
      <c r="K54" s="99">
        <v>2310988.46</v>
      </c>
      <c r="L54" s="99">
        <v>2499529.79</v>
      </c>
      <c r="M54" s="99">
        <v>2215192.91</v>
      </c>
      <c r="N54" s="99">
        <v>2430112.7200000002</v>
      </c>
      <c r="O54" s="99">
        <v>2124950.7200000002</v>
      </c>
      <c r="P54" s="99">
        <v>2083300.48</v>
      </c>
      <c r="Q54" s="99">
        <v>1043038.58</v>
      </c>
      <c r="R54" s="97">
        <f t="shared" si="0"/>
        <v>26352746.079999994</v>
      </c>
    </row>
    <row r="55" spans="1:18" s="98" customFormat="1" ht="15" customHeight="1">
      <c r="A55" s="94">
        <v>2001</v>
      </c>
      <c r="B55" s="93" t="s">
        <v>127</v>
      </c>
      <c r="C55" s="94">
        <v>2</v>
      </c>
      <c r="D55" s="94">
        <v>39502</v>
      </c>
      <c r="E55" s="93" t="s">
        <v>174</v>
      </c>
      <c r="F55" s="99">
        <v>50000</v>
      </c>
      <c r="G55" s="99">
        <v>2200000</v>
      </c>
      <c r="H55" s="99">
        <v>1180259.18</v>
      </c>
      <c r="I55" s="99">
        <v>1150000</v>
      </c>
      <c r="J55" s="99">
        <v>2100000</v>
      </c>
      <c r="K55" s="99">
        <v>2071259.18</v>
      </c>
      <c r="L55" s="99">
        <v>35000</v>
      </c>
      <c r="M55" s="99">
        <v>35000</v>
      </c>
      <c r="N55" s="99">
        <v>2101259.1800000002</v>
      </c>
      <c r="O55" s="99">
        <v>2150000</v>
      </c>
      <c r="P55" s="99">
        <v>2200000</v>
      </c>
      <c r="Q55" s="99">
        <v>2081259.18</v>
      </c>
      <c r="R55" s="97">
        <f t="shared" si="0"/>
        <v>17354036.719999999</v>
      </c>
    </row>
    <row r="56" spans="1:18" s="98" customFormat="1" ht="15" customHeight="1">
      <c r="A56" s="94">
        <v>2001</v>
      </c>
      <c r="B56" s="93" t="s">
        <v>127</v>
      </c>
      <c r="C56" s="94">
        <v>2</v>
      </c>
      <c r="D56" s="94">
        <v>39601</v>
      </c>
      <c r="E56" s="93" t="s">
        <v>175</v>
      </c>
      <c r="F56" s="99">
        <v>40000</v>
      </c>
      <c r="G56" s="99">
        <v>40000</v>
      </c>
      <c r="H56" s="99">
        <v>40000</v>
      </c>
      <c r="I56" s="99">
        <v>40000</v>
      </c>
      <c r="J56" s="99">
        <v>40000</v>
      </c>
      <c r="K56" s="99">
        <v>40000</v>
      </c>
      <c r="L56" s="99">
        <v>40000</v>
      </c>
      <c r="M56" s="99">
        <v>40000</v>
      </c>
      <c r="N56" s="99">
        <v>40000</v>
      </c>
      <c r="O56" s="99">
        <v>40000</v>
      </c>
      <c r="P56" s="99">
        <v>40000</v>
      </c>
      <c r="Q56" s="99">
        <v>40000</v>
      </c>
      <c r="R56" s="97">
        <f t="shared" si="0"/>
        <v>480000</v>
      </c>
    </row>
    <row r="57" spans="1:18" s="98" customFormat="1" ht="15" customHeight="1">
      <c r="A57" s="94">
        <v>2001</v>
      </c>
      <c r="B57" s="93" t="s">
        <v>127</v>
      </c>
      <c r="C57" s="94">
        <v>2</v>
      </c>
      <c r="D57" s="92">
        <v>39801</v>
      </c>
      <c r="E57" s="95" t="s">
        <v>176</v>
      </c>
      <c r="F57" s="96">
        <v>700.33</v>
      </c>
      <c r="G57" s="96">
        <v>700.33</v>
      </c>
      <c r="H57" s="96">
        <v>700.33</v>
      </c>
      <c r="I57" s="96">
        <v>700.33</v>
      </c>
      <c r="J57" s="96">
        <v>700.33</v>
      </c>
      <c r="K57" s="96">
        <v>700.33</v>
      </c>
      <c r="L57" s="96">
        <v>700.33</v>
      </c>
      <c r="M57" s="96">
        <v>700.33</v>
      </c>
      <c r="N57" s="96">
        <v>700.33</v>
      </c>
      <c r="O57" s="96">
        <v>700.33</v>
      </c>
      <c r="P57" s="96">
        <v>700.33</v>
      </c>
      <c r="Q57" s="96">
        <v>700.34</v>
      </c>
      <c r="R57" s="97">
        <f t="shared" si="0"/>
        <v>8403.9699999999993</v>
      </c>
    </row>
    <row r="58" spans="1:18" s="98" customFormat="1" ht="15" customHeight="1">
      <c r="A58" s="94">
        <v>2001</v>
      </c>
      <c r="B58" s="93" t="s">
        <v>127</v>
      </c>
      <c r="C58" s="94">
        <v>2</v>
      </c>
      <c r="D58" s="92">
        <v>39802</v>
      </c>
      <c r="E58" s="95" t="s">
        <v>177</v>
      </c>
      <c r="F58" s="96">
        <v>700.33</v>
      </c>
      <c r="G58" s="96">
        <v>700.33</v>
      </c>
      <c r="H58" s="96">
        <v>700.33</v>
      </c>
      <c r="I58" s="96">
        <v>700.33</v>
      </c>
      <c r="J58" s="96">
        <v>700.33</v>
      </c>
      <c r="K58" s="96">
        <v>700.33</v>
      </c>
      <c r="L58" s="96">
        <v>700.33</v>
      </c>
      <c r="M58" s="96">
        <v>700.33</v>
      </c>
      <c r="N58" s="96">
        <v>700.33</v>
      </c>
      <c r="O58" s="96">
        <v>700.33</v>
      </c>
      <c r="P58" s="96">
        <v>700.33</v>
      </c>
      <c r="Q58" s="96">
        <v>700.34</v>
      </c>
      <c r="R58" s="97">
        <f t="shared" si="0"/>
        <v>8403.9699999999993</v>
      </c>
    </row>
    <row r="59" spans="1:18" s="98" customFormat="1" ht="15" customHeight="1">
      <c r="A59" s="94">
        <v>2001</v>
      </c>
      <c r="B59" s="93" t="s">
        <v>127</v>
      </c>
      <c r="C59" s="94">
        <v>2</v>
      </c>
      <c r="D59" s="92">
        <v>39803</v>
      </c>
      <c r="E59" s="95" t="s">
        <v>178</v>
      </c>
      <c r="F59" s="96">
        <v>4668.87</v>
      </c>
      <c r="G59" s="96">
        <v>4668.87</v>
      </c>
      <c r="H59" s="96">
        <v>4668.87</v>
      </c>
      <c r="I59" s="96">
        <v>4668.87</v>
      </c>
      <c r="J59" s="96">
        <v>4668.87</v>
      </c>
      <c r="K59" s="96">
        <v>4668.87</v>
      </c>
      <c r="L59" s="96">
        <v>4668.87</v>
      </c>
      <c r="M59" s="96">
        <v>4668.87</v>
      </c>
      <c r="N59" s="96">
        <v>4668.87</v>
      </c>
      <c r="O59" s="96">
        <v>4668.87</v>
      </c>
      <c r="P59" s="96">
        <v>4668.87</v>
      </c>
      <c r="Q59" s="96">
        <v>4668.8900000000003</v>
      </c>
      <c r="R59" s="97">
        <f t="shared" si="0"/>
        <v>56026.460000000006</v>
      </c>
    </row>
    <row r="60" spans="1:18" s="98" customFormat="1" ht="15" customHeight="1">
      <c r="A60" s="94">
        <v>2001</v>
      </c>
      <c r="B60" s="93" t="s">
        <v>127</v>
      </c>
      <c r="C60" s="94">
        <v>2</v>
      </c>
      <c r="D60" s="92">
        <v>39804</v>
      </c>
      <c r="E60" s="95" t="s">
        <v>179</v>
      </c>
      <c r="F60" s="96">
        <v>700.33</v>
      </c>
      <c r="G60" s="96">
        <v>700.33</v>
      </c>
      <c r="H60" s="96">
        <v>700.33</v>
      </c>
      <c r="I60" s="96">
        <v>700.33</v>
      </c>
      <c r="J60" s="96">
        <v>700.33</v>
      </c>
      <c r="K60" s="96">
        <v>700.33</v>
      </c>
      <c r="L60" s="96">
        <v>700.33</v>
      </c>
      <c r="M60" s="96">
        <v>700.33</v>
      </c>
      <c r="N60" s="96">
        <v>700.33</v>
      </c>
      <c r="O60" s="96">
        <v>700.33</v>
      </c>
      <c r="P60" s="96">
        <v>700.33</v>
      </c>
      <c r="Q60" s="96">
        <v>700.34</v>
      </c>
      <c r="R60" s="97">
        <f t="shared" si="0"/>
        <v>8403.9699999999993</v>
      </c>
    </row>
    <row r="61" spans="1:18" s="98" customFormat="1" ht="15" customHeight="1">
      <c r="A61" s="94">
        <v>2001</v>
      </c>
      <c r="B61" s="93" t="s">
        <v>127</v>
      </c>
      <c r="C61" s="94">
        <v>2</v>
      </c>
      <c r="D61" s="92">
        <v>44101</v>
      </c>
      <c r="E61" s="95" t="s">
        <v>180</v>
      </c>
      <c r="F61" s="96">
        <v>5000</v>
      </c>
      <c r="G61" s="96"/>
      <c r="H61" s="96"/>
      <c r="I61" s="99">
        <v>5000</v>
      </c>
      <c r="J61" s="99"/>
      <c r="K61" s="99"/>
      <c r="L61" s="99">
        <v>5000</v>
      </c>
      <c r="M61" s="99"/>
      <c r="N61" s="99">
        <v>5000</v>
      </c>
      <c r="O61" s="99"/>
      <c r="P61" s="99">
        <v>5000</v>
      </c>
      <c r="Q61" s="99"/>
      <c r="R61" s="97">
        <f t="shared" si="0"/>
        <v>25000</v>
      </c>
    </row>
    <row r="62" spans="1:18" s="98" customFormat="1" ht="15" customHeight="1">
      <c r="A62" s="94">
        <v>2001</v>
      </c>
      <c r="B62" s="93" t="s">
        <v>127</v>
      </c>
      <c r="C62" s="94">
        <v>2</v>
      </c>
      <c r="D62" s="92">
        <v>51101</v>
      </c>
      <c r="E62" s="95" t="s">
        <v>181</v>
      </c>
      <c r="F62" s="96"/>
      <c r="G62" s="96">
        <v>500000</v>
      </c>
      <c r="H62" s="96">
        <v>500000</v>
      </c>
      <c r="I62" s="99"/>
      <c r="J62" s="99"/>
      <c r="K62" s="99">
        <v>500000</v>
      </c>
      <c r="L62" s="99"/>
      <c r="M62" s="99">
        <v>500000</v>
      </c>
      <c r="N62" s="99"/>
      <c r="O62" s="99">
        <v>500000</v>
      </c>
      <c r="P62" s="99"/>
      <c r="Q62" s="99">
        <v>500000</v>
      </c>
      <c r="R62" s="97">
        <f t="shared" si="0"/>
        <v>3000000</v>
      </c>
    </row>
    <row r="63" spans="1:18" s="98" customFormat="1" ht="15" customHeight="1">
      <c r="A63" s="94">
        <v>2001</v>
      </c>
      <c r="B63" s="93" t="s">
        <v>127</v>
      </c>
      <c r="C63" s="94">
        <v>2</v>
      </c>
      <c r="D63" s="92">
        <v>51501</v>
      </c>
      <c r="E63" s="95" t="s">
        <v>182</v>
      </c>
      <c r="F63" s="96">
        <v>217834.55</v>
      </c>
      <c r="G63" s="96">
        <v>217834.55</v>
      </c>
      <c r="H63" s="96">
        <v>217834.55</v>
      </c>
      <c r="I63" s="99">
        <v>217834.55</v>
      </c>
      <c r="J63" s="99">
        <v>217834.55</v>
      </c>
      <c r="K63" s="99">
        <v>217834.55</v>
      </c>
      <c r="L63" s="99">
        <v>217834.55</v>
      </c>
      <c r="M63" s="99">
        <v>217834.55</v>
      </c>
      <c r="N63" s="99">
        <v>217834.55</v>
      </c>
      <c r="O63" s="99">
        <v>217834.55</v>
      </c>
      <c r="P63" s="99">
        <v>894434.55</v>
      </c>
      <c r="Q63" s="99">
        <v>217834.53</v>
      </c>
      <c r="R63" s="97">
        <f t="shared" si="0"/>
        <v>3290614.5799999996</v>
      </c>
    </row>
    <row r="64" spans="1:18" s="98" customFormat="1" ht="15" customHeight="1">
      <c r="A64" s="94">
        <v>2001</v>
      </c>
      <c r="B64" s="93" t="s">
        <v>127</v>
      </c>
      <c r="C64" s="94">
        <v>2</v>
      </c>
      <c r="D64" s="92">
        <v>54101</v>
      </c>
      <c r="E64" s="95" t="s">
        <v>183</v>
      </c>
      <c r="F64" s="96"/>
      <c r="G64" s="96">
        <v>2500000</v>
      </c>
      <c r="H64" s="96">
        <v>500000</v>
      </c>
      <c r="I64" s="99"/>
      <c r="J64" s="99"/>
      <c r="K64" s="99"/>
      <c r="L64" s="99">
        <v>500000</v>
      </c>
      <c r="M64" s="99"/>
      <c r="N64" s="99"/>
      <c r="O64" s="99"/>
      <c r="P64" s="99"/>
      <c r="Q64" s="99"/>
      <c r="R64" s="97">
        <f t="shared" si="0"/>
        <v>3500000</v>
      </c>
    </row>
    <row r="65" spans="1:18" s="98" customFormat="1" ht="15" customHeight="1">
      <c r="A65" s="94">
        <v>2001</v>
      </c>
      <c r="B65" s="93" t="s">
        <v>127</v>
      </c>
      <c r="C65" s="94">
        <v>2</v>
      </c>
      <c r="D65" s="92">
        <v>91101</v>
      </c>
      <c r="E65" s="95" t="s">
        <v>184</v>
      </c>
      <c r="F65" s="96">
        <v>2070085.76</v>
      </c>
      <c r="G65" s="96">
        <v>4592753.2</v>
      </c>
      <c r="H65" s="96">
        <v>2115668.85</v>
      </c>
      <c r="I65" s="99">
        <v>2138835.42</v>
      </c>
      <c r="J65" s="99">
        <v>2162255.67</v>
      </c>
      <c r="K65" s="99">
        <v>2185935.37</v>
      </c>
      <c r="L65" s="99">
        <v>2209868.33</v>
      </c>
      <c r="M65" s="99">
        <v>2234066.39</v>
      </c>
      <c r="N65" s="99">
        <v>2258529.41</v>
      </c>
      <c r="O65" s="99">
        <v>2283260.31</v>
      </c>
      <c r="P65" s="99">
        <v>2308262.0099999998</v>
      </c>
      <c r="Q65" s="99">
        <v>2333537.48</v>
      </c>
      <c r="R65" s="97">
        <f t="shared" si="0"/>
        <v>28893058.199999999</v>
      </c>
    </row>
    <row r="66" spans="1:18" s="98" customFormat="1" ht="15" customHeight="1">
      <c r="A66" s="94">
        <v>2001</v>
      </c>
      <c r="B66" s="93" t="s">
        <v>127</v>
      </c>
      <c r="C66" s="94">
        <v>2</v>
      </c>
      <c r="D66" s="92">
        <v>92101</v>
      </c>
      <c r="E66" s="95" t="s">
        <v>185</v>
      </c>
      <c r="F66" s="96">
        <v>1147031.3</v>
      </c>
      <c r="G66" s="96">
        <v>135499.20000000001</v>
      </c>
      <c r="H66" s="96">
        <v>123840.8</v>
      </c>
      <c r="I66" s="99">
        <v>112054.8</v>
      </c>
      <c r="J66" s="99">
        <v>100139.7</v>
      </c>
      <c r="K66" s="99">
        <v>88094.1</v>
      </c>
      <c r="L66" s="99">
        <v>75916.7</v>
      </c>
      <c r="M66" s="99">
        <v>63605.9</v>
      </c>
      <c r="N66" s="99">
        <v>51160.2</v>
      </c>
      <c r="O66" s="99">
        <v>38578.400000000001</v>
      </c>
      <c r="P66" s="99">
        <v>25858.7</v>
      </c>
      <c r="Q66" s="99">
        <v>12999.7</v>
      </c>
      <c r="R66" s="97">
        <f t="shared" si="0"/>
        <v>1974779.4999999998</v>
      </c>
    </row>
    <row r="67" spans="1:18" s="98" customFormat="1" ht="15" customHeight="1">
      <c r="A67" s="94">
        <v>2001</v>
      </c>
      <c r="B67" s="93" t="s">
        <v>127</v>
      </c>
      <c r="C67" s="94">
        <v>2</v>
      </c>
      <c r="D67" s="93">
        <v>94101</v>
      </c>
      <c r="E67" s="93" t="s">
        <v>186</v>
      </c>
      <c r="F67" s="96">
        <v>100000</v>
      </c>
      <c r="G67" s="96">
        <v>25000</v>
      </c>
      <c r="H67" s="96">
        <v>260000</v>
      </c>
      <c r="I67" s="99">
        <v>23400</v>
      </c>
      <c r="J67" s="99">
        <v>23400</v>
      </c>
      <c r="K67" s="99">
        <v>23400</v>
      </c>
      <c r="L67" s="99">
        <v>23400</v>
      </c>
      <c r="M67" s="99">
        <v>25000</v>
      </c>
      <c r="N67" s="99">
        <v>23400</v>
      </c>
      <c r="O67" s="99">
        <v>23400</v>
      </c>
      <c r="P67" s="99">
        <v>23400</v>
      </c>
      <c r="Q67" s="99">
        <v>30000</v>
      </c>
      <c r="R67" s="97">
        <f t="shared" si="0"/>
        <v>603800</v>
      </c>
    </row>
    <row r="68" spans="1:18" s="98" customFormat="1" ht="15" customHeight="1">
      <c r="A68" s="94">
        <v>2001</v>
      </c>
      <c r="B68" s="93" t="s">
        <v>127</v>
      </c>
      <c r="C68" s="94">
        <v>2</v>
      </c>
      <c r="D68" s="92">
        <v>99102</v>
      </c>
      <c r="E68" s="95" t="s">
        <v>187</v>
      </c>
      <c r="F68" s="96">
        <v>25683585.609999999</v>
      </c>
      <c r="G68" s="96"/>
      <c r="H68" s="96"/>
      <c r="I68" s="99"/>
      <c r="J68" s="99"/>
      <c r="K68" s="99"/>
      <c r="L68" s="99"/>
      <c r="M68" s="99"/>
      <c r="N68" s="99"/>
      <c r="O68" s="99"/>
      <c r="P68" s="99"/>
      <c r="Q68" s="99"/>
      <c r="R68" s="97">
        <f t="shared" si="0"/>
        <v>25683585.609999999</v>
      </c>
    </row>
    <row r="69" spans="1:18" s="98" customFormat="1" ht="15" customHeight="1">
      <c r="A69" s="94">
        <v>2001</v>
      </c>
      <c r="B69" s="93" t="s">
        <v>127</v>
      </c>
      <c r="C69" s="94">
        <v>2</v>
      </c>
      <c r="D69" s="92">
        <v>99103</v>
      </c>
      <c r="E69" s="95" t="s">
        <v>188</v>
      </c>
      <c r="F69" s="96"/>
      <c r="G69" s="96"/>
      <c r="H69" s="96"/>
      <c r="I69" s="99"/>
      <c r="J69" s="99"/>
      <c r="K69" s="99"/>
      <c r="L69" s="99"/>
      <c r="M69" s="99"/>
      <c r="N69" s="99"/>
      <c r="O69" s="99"/>
      <c r="P69" s="99"/>
      <c r="Q69" s="99"/>
      <c r="R69" s="97">
        <f t="shared" si="0"/>
        <v>0</v>
      </c>
    </row>
    <row r="70" spans="1:18" s="98" customFormat="1" ht="15" customHeight="1">
      <c r="A70" s="94">
        <v>2001</v>
      </c>
      <c r="B70" s="93" t="s">
        <v>127</v>
      </c>
      <c r="C70" s="94">
        <v>2</v>
      </c>
      <c r="D70" s="92">
        <v>99104</v>
      </c>
      <c r="E70" s="95" t="s">
        <v>189</v>
      </c>
      <c r="F70" s="96"/>
      <c r="G70" s="96"/>
      <c r="H70" s="96"/>
      <c r="I70" s="99"/>
      <c r="J70" s="99"/>
      <c r="K70" s="99"/>
      <c r="L70" s="99"/>
      <c r="M70" s="99"/>
      <c r="N70" s="99"/>
      <c r="O70" s="99"/>
      <c r="P70" s="99"/>
      <c r="Q70" s="99"/>
      <c r="R70" s="97">
        <f t="shared" si="0"/>
        <v>0</v>
      </c>
    </row>
    <row r="71" spans="1:18" s="98" customFormat="1" ht="15" customHeight="1">
      <c r="A71" s="94">
        <v>2001</v>
      </c>
      <c r="B71" s="93" t="s">
        <v>127</v>
      </c>
      <c r="C71" s="94">
        <v>2</v>
      </c>
      <c r="D71" s="92">
        <v>99106</v>
      </c>
      <c r="E71" s="95" t="s">
        <v>190</v>
      </c>
      <c r="F71" s="96"/>
      <c r="G71" s="96"/>
      <c r="H71" s="96"/>
      <c r="I71" s="96"/>
      <c r="J71" s="96"/>
      <c r="K71" s="96"/>
      <c r="L71" s="96"/>
      <c r="M71" s="96"/>
      <c r="N71" s="96"/>
      <c r="O71" s="96"/>
      <c r="P71" s="96"/>
      <c r="Q71" s="96"/>
      <c r="R71" s="97">
        <f t="shared" si="0"/>
        <v>0</v>
      </c>
    </row>
    <row r="72" spans="1:18" s="98" customFormat="1" ht="15" customHeight="1">
      <c r="A72" s="94">
        <v>2001</v>
      </c>
      <c r="B72" s="93" t="s">
        <v>127</v>
      </c>
      <c r="C72" s="94">
        <v>2</v>
      </c>
      <c r="D72" s="92">
        <v>99110</v>
      </c>
      <c r="E72" s="95" t="s">
        <v>191</v>
      </c>
      <c r="F72" s="96">
        <v>2427323.6581900083</v>
      </c>
      <c r="G72" s="96">
        <v>2919876.67</v>
      </c>
      <c r="H72" s="96">
        <v>3919876.67</v>
      </c>
      <c r="I72" s="99"/>
      <c r="J72" s="99"/>
      <c r="K72" s="99"/>
      <c r="L72" s="99"/>
      <c r="M72" s="99"/>
      <c r="N72" s="99"/>
      <c r="O72" s="99"/>
      <c r="P72" s="99"/>
      <c r="Q72" s="99"/>
      <c r="R72" s="97">
        <f t="shared" si="0"/>
        <v>9267076.9981900081</v>
      </c>
    </row>
    <row r="73" spans="1:18" s="98" customFormat="1" ht="15" customHeight="1">
      <c r="A73" s="94">
        <v>2001</v>
      </c>
      <c r="B73" s="93" t="s">
        <v>127</v>
      </c>
      <c r="C73" s="94">
        <v>2</v>
      </c>
      <c r="D73" s="92">
        <v>99116</v>
      </c>
      <c r="E73" s="95" t="s">
        <v>192</v>
      </c>
      <c r="F73" s="96"/>
      <c r="G73" s="96"/>
      <c r="H73" s="96"/>
      <c r="I73" s="99"/>
      <c r="J73" s="99"/>
      <c r="K73" s="99"/>
      <c r="L73" s="99"/>
      <c r="M73" s="99"/>
      <c r="N73" s="99"/>
      <c r="O73" s="99"/>
      <c r="P73" s="99"/>
      <c r="Q73" s="99"/>
      <c r="R73" s="97">
        <f t="shared" ref="R73:R136" si="1">SUM(F73:Q73)</f>
        <v>0</v>
      </c>
    </row>
    <row r="74" spans="1:18" s="98" customFormat="1" ht="15" customHeight="1">
      <c r="A74" s="94">
        <v>2001</v>
      </c>
      <c r="B74" s="93" t="s">
        <v>127</v>
      </c>
      <c r="C74" s="94">
        <v>2</v>
      </c>
      <c r="D74" s="92">
        <v>99117</v>
      </c>
      <c r="E74" s="95" t="s">
        <v>193</v>
      </c>
      <c r="F74" s="101"/>
      <c r="G74" s="101"/>
      <c r="H74" s="101"/>
      <c r="I74" s="101"/>
      <c r="J74" s="101"/>
      <c r="K74" s="101"/>
      <c r="L74" s="101"/>
      <c r="M74" s="101"/>
      <c r="N74" s="101"/>
      <c r="O74" s="101"/>
      <c r="P74" s="101"/>
      <c r="Q74" s="101"/>
      <c r="R74" s="97">
        <f t="shared" si="1"/>
        <v>0</v>
      </c>
    </row>
    <row r="75" spans="1:18" s="98" customFormat="1" ht="15" customHeight="1">
      <c r="A75" s="92">
        <v>2002</v>
      </c>
      <c r="B75" s="93" t="s">
        <v>194</v>
      </c>
      <c r="C75" s="94">
        <v>2</v>
      </c>
      <c r="D75" s="92">
        <v>11303</v>
      </c>
      <c r="E75" s="95" t="s">
        <v>130</v>
      </c>
      <c r="F75" s="96">
        <v>19846.32</v>
      </c>
      <c r="G75" s="96">
        <v>19846.32</v>
      </c>
      <c r="H75" s="96">
        <v>19846.32</v>
      </c>
      <c r="I75" s="96">
        <v>19846.32</v>
      </c>
      <c r="J75" s="96">
        <v>19846.32</v>
      </c>
      <c r="K75" s="96">
        <v>19846.32</v>
      </c>
      <c r="L75" s="96">
        <v>19846.32</v>
      </c>
      <c r="M75" s="96">
        <v>19846.32</v>
      </c>
      <c r="N75" s="96">
        <v>19846.32</v>
      </c>
      <c r="O75" s="96">
        <v>19846.32</v>
      </c>
      <c r="P75" s="96">
        <v>19846.32</v>
      </c>
      <c r="Q75" s="96">
        <v>19846.32</v>
      </c>
      <c r="R75" s="97">
        <f t="shared" si="1"/>
        <v>238155.84000000005</v>
      </c>
    </row>
    <row r="76" spans="1:18" s="98" customFormat="1" ht="15" customHeight="1">
      <c r="A76" s="92">
        <v>2002</v>
      </c>
      <c r="B76" s="93" t="s">
        <v>194</v>
      </c>
      <c r="C76" s="94">
        <v>2</v>
      </c>
      <c r="D76" s="92">
        <v>13201</v>
      </c>
      <c r="E76" s="95" t="s">
        <v>133</v>
      </c>
      <c r="F76" s="96">
        <v>546.36</v>
      </c>
      <c r="G76" s="96">
        <v>546.36</v>
      </c>
      <c r="H76" s="96">
        <v>546.36</v>
      </c>
      <c r="I76" s="96">
        <v>546.36</v>
      </c>
      <c r="J76" s="96">
        <v>546.36</v>
      </c>
      <c r="K76" s="96">
        <v>546.36</v>
      </c>
      <c r="L76" s="96">
        <v>546.36</v>
      </c>
      <c r="M76" s="96">
        <v>546.36</v>
      </c>
      <c r="N76" s="96">
        <v>546.36</v>
      </c>
      <c r="O76" s="96">
        <v>546.36</v>
      </c>
      <c r="P76" s="96">
        <v>546.36</v>
      </c>
      <c r="Q76" s="96">
        <v>546.47</v>
      </c>
      <c r="R76" s="97">
        <f t="shared" si="1"/>
        <v>6556.4299999999994</v>
      </c>
    </row>
    <row r="77" spans="1:18" s="98" customFormat="1" ht="15" customHeight="1">
      <c r="A77" s="92">
        <v>2002</v>
      </c>
      <c r="B77" s="93" t="s">
        <v>194</v>
      </c>
      <c r="C77" s="94">
        <v>2</v>
      </c>
      <c r="D77" s="92">
        <v>13203</v>
      </c>
      <c r="E77" s="95" t="s">
        <v>134</v>
      </c>
      <c r="F77" s="96">
        <v>4623.12</v>
      </c>
      <c r="G77" s="96">
        <v>4623.12</v>
      </c>
      <c r="H77" s="96">
        <v>4623.12</v>
      </c>
      <c r="I77" s="96">
        <v>4623.12</v>
      </c>
      <c r="J77" s="96">
        <v>4623.12</v>
      </c>
      <c r="K77" s="96">
        <v>4623.12</v>
      </c>
      <c r="L77" s="96">
        <v>4623.12</v>
      </c>
      <c r="M77" s="96">
        <v>4623.12</v>
      </c>
      <c r="N77" s="96">
        <v>4623.12</v>
      </c>
      <c r="O77" s="96">
        <v>4623.12</v>
      </c>
      <c r="P77" s="96">
        <v>4623.12</v>
      </c>
      <c r="Q77" s="96">
        <v>4623.1899999999996</v>
      </c>
      <c r="R77" s="97">
        <f t="shared" si="1"/>
        <v>55477.510000000009</v>
      </c>
    </row>
    <row r="78" spans="1:18" s="98" customFormat="1" ht="15" customHeight="1">
      <c r="A78" s="92">
        <v>2002</v>
      </c>
      <c r="B78" s="93" t="s">
        <v>194</v>
      </c>
      <c r="C78" s="94">
        <v>2</v>
      </c>
      <c r="D78" s="92">
        <v>13401</v>
      </c>
      <c r="E78" s="95" t="s">
        <v>135</v>
      </c>
      <c r="F78" s="96">
        <v>10414.14</v>
      </c>
      <c r="G78" s="96">
        <v>10414.14</v>
      </c>
      <c r="H78" s="96">
        <v>10414.14</v>
      </c>
      <c r="I78" s="96">
        <v>10414.14</v>
      </c>
      <c r="J78" s="96">
        <v>10414.14</v>
      </c>
      <c r="K78" s="96">
        <v>10414.14</v>
      </c>
      <c r="L78" s="96">
        <v>10414.14</v>
      </c>
      <c r="M78" s="96">
        <v>10414.14</v>
      </c>
      <c r="N78" s="96">
        <v>10414.14</v>
      </c>
      <c r="O78" s="96">
        <v>10414.14</v>
      </c>
      <c r="P78" s="96">
        <v>10414.14</v>
      </c>
      <c r="Q78" s="96">
        <v>10414.14</v>
      </c>
      <c r="R78" s="97">
        <f t="shared" si="1"/>
        <v>124969.68</v>
      </c>
    </row>
    <row r="79" spans="1:18" s="98" customFormat="1" ht="15" customHeight="1">
      <c r="A79" s="92">
        <v>2002</v>
      </c>
      <c r="B79" s="93" t="s">
        <v>194</v>
      </c>
      <c r="C79" s="94">
        <v>2</v>
      </c>
      <c r="D79" s="92">
        <v>15201</v>
      </c>
      <c r="E79" s="95" t="s">
        <v>139</v>
      </c>
      <c r="F79" s="96">
        <v>91.52</v>
      </c>
      <c r="G79" s="96">
        <v>91.52</v>
      </c>
      <c r="H79" s="96">
        <v>91.52</v>
      </c>
      <c r="I79" s="96">
        <v>91.52</v>
      </c>
      <c r="J79" s="96">
        <v>91.52</v>
      </c>
      <c r="K79" s="96">
        <v>91.52</v>
      </c>
      <c r="L79" s="96">
        <v>91.52</v>
      </c>
      <c r="M79" s="96">
        <v>91.52</v>
      </c>
      <c r="N79" s="96">
        <v>91.52</v>
      </c>
      <c r="O79" s="96">
        <v>91.52</v>
      </c>
      <c r="P79" s="96">
        <v>91.52</v>
      </c>
      <c r="Q79" s="96">
        <v>91.52</v>
      </c>
      <c r="R79" s="97">
        <f t="shared" si="1"/>
        <v>1098.24</v>
      </c>
    </row>
    <row r="80" spans="1:18" s="98" customFormat="1" ht="15" customHeight="1">
      <c r="A80" s="92">
        <v>2002</v>
      </c>
      <c r="B80" s="93" t="s">
        <v>194</v>
      </c>
      <c r="C80" s="94">
        <v>2</v>
      </c>
      <c r="D80" s="92">
        <v>15403</v>
      </c>
      <c r="E80" s="95" t="s">
        <v>141</v>
      </c>
      <c r="F80" s="96">
        <v>147.59</v>
      </c>
      <c r="G80" s="96">
        <v>147.59</v>
      </c>
      <c r="H80" s="96">
        <v>147.59</v>
      </c>
      <c r="I80" s="96">
        <v>147.59</v>
      </c>
      <c r="J80" s="96">
        <v>147.59</v>
      </c>
      <c r="K80" s="96">
        <v>147.59</v>
      </c>
      <c r="L80" s="96">
        <v>147.59</v>
      </c>
      <c r="M80" s="96">
        <v>147.59</v>
      </c>
      <c r="N80" s="96">
        <v>147.59</v>
      </c>
      <c r="O80" s="96">
        <v>147.59</v>
      </c>
      <c r="P80" s="96">
        <v>147.59</v>
      </c>
      <c r="Q80" s="96">
        <v>147.59</v>
      </c>
      <c r="R80" s="97">
        <f t="shared" si="1"/>
        <v>1771.0799999999997</v>
      </c>
    </row>
    <row r="81" spans="1:18" s="98" customFormat="1" ht="15" customHeight="1">
      <c r="A81" s="92">
        <v>2002</v>
      </c>
      <c r="B81" s="93" t="s">
        <v>194</v>
      </c>
      <c r="C81" s="94">
        <v>2</v>
      </c>
      <c r="D81" s="92">
        <v>15903</v>
      </c>
      <c r="E81" s="95" t="s">
        <v>146</v>
      </c>
      <c r="F81" s="96">
        <v>0</v>
      </c>
      <c r="G81" s="96">
        <v>0</v>
      </c>
      <c r="H81" s="96">
        <v>0</v>
      </c>
      <c r="I81" s="96">
        <v>0</v>
      </c>
      <c r="J81" s="96">
        <v>0</v>
      </c>
      <c r="K81" s="96">
        <v>0</v>
      </c>
      <c r="L81" s="96">
        <v>0</v>
      </c>
      <c r="M81" s="96">
        <v>2400</v>
      </c>
      <c r="N81" s="96"/>
      <c r="O81" s="96"/>
      <c r="P81" s="96">
        <v>0</v>
      </c>
      <c r="Q81" s="96">
        <v>0</v>
      </c>
      <c r="R81" s="97">
        <f t="shared" si="1"/>
        <v>2400</v>
      </c>
    </row>
    <row r="82" spans="1:18" s="98" customFormat="1" ht="15" customHeight="1">
      <c r="A82" s="92">
        <v>2002</v>
      </c>
      <c r="B82" s="93" t="s">
        <v>194</v>
      </c>
      <c r="C82" s="94">
        <v>2</v>
      </c>
      <c r="D82" s="92">
        <v>15904</v>
      </c>
      <c r="E82" s="95" t="s">
        <v>147</v>
      </c>
      <c r="F82" s="96">
        <v>0</v>
      </c>
      <c r="G82" s="96">
        <v>0</v>
      </c>
      <c r="H82" s="96">
        <v>0</v>
      </c>
      <c r="I82" s="96">
        <v>0</v>
      </c>
      <c r="J82" s="96">
        <v>4200</v>
      </c>
      <c r="K82" s="96">
        <v>0</v>
      </c>
      <c r="L82" s="96">
        <v>0</v>
      </c>
      <c r="M82" s="96">
        <v>0</v>
      </c>
      <c r="N82" s="96">
        <v>0</v>
      </c>
      <c r="O82" s="96">
        <v>0</v>
      </c>
      <c r="P82" s="96">
        <v>0</v>
      </c>
      <c r="Q82" s="96">
        <v>0</v>
      </c>
      <c r="R82" s="97">
        <f t="shared" si="1"/>
        <v>4200</v>
      </c>
    </row>
    <row r="83" spans="1:18" s="98" customFormat="1" ht="15" customHeight="1">
      <c r="A83" s="94">
        <v>2002</v>
      </c>
      <c r="B83" s="93" t="s">
        <v>194</v>
      </c>
      <c r="C83" s="94">
        <v>2</v>
      </c>
      <c r="D83" s="94">
        <v>21101</v>
      </c>
      <c r="E83" s="93" t="s">
        <v>150</v>
      </c>
      <c r="F83" s="99">
        <v>1000</v>
      </c>
      <c r="G83" s="99">
        <v>1000</v>
      </c>
      <c r="H83" s="99">
        <v>1000</v>
      </c>
      <c r="I83" s="99">
        <v>1000</v>
      </c>
      <c r="J83" s="99">
        <v>1000</v>
      </c>
      <c r="K83" s="99">
        <v>1000</v>
      </c>
      <c r="L83" s="99">
        <v>1000</v>
      </c>
      <c r="M83" s="99">
        <v>1000</v>
      </c>
      <c r="N83" s="99">
        <v>1000</v>
      </c>
      <c r="O83" s="99">
        <v>1000</v>
      </c>
      <c r="P83" s="99">
        <v>1000</v>
      </c>
      <c r="Q83" s="99">
        <v>1000</v>
      </c>
      <c r="R83" s="97">
        <f t="shared" si="1"/>
        <v>12000</v>
      </c>
    </row>
    <row r="84" spans="1:18" s="98" customFormat="1" ht="15" customHeight="1">
      <c r="A84" s="94">
        <v>2002</v>
      </c>
      <c r="B84" s="93" t="s">
        <v>194</v>
      </c>
      <c r="C84" s="94">
        <v>2</v>
      </c>
      <c r="D84" s="94">
        <v>21401</v>
      </c>
      <c r="E84" s="93" t="s">
        <v>151</v>
      </c>
      <c r="F84" s="99">
        <v>2000</v>
      </c>
      <c r="G84" s="99">
        <v>2000</v>
      </c>
      <c r="H84" s="99">
        <v>2000</v>
      </c>
      <c r="I84" s="99">
        <v>1000</v>
      </c>
      <c r="J84" s="99">
        <v>1000</v>
      </c>
      <c r="K84" s="99">
        <v>1000</v>
      </c>
      <c r="L84" s="99">
        <v>2000</v>
      </c>
      <c r="M84" s="99">
        <v>2000</v>
      </c>
      <c r="N84" s="99">
        <v>1000</v>
      </c>
      <c r="O84" s="99">
        <v>1000</v>
      </c>
      <c r="P84" s="99">
        <v>1000</v>
      </c>
      <c r="Q84" s="99">
        <v>2000</v>
      </c>
      <c r="R84" s="97">
        <f t="shared" si="1"/>
        <v>18000</v>
      </c>
    </row>
    <row r="85" spans="1:18" s="98" customFormat="1" ht="15" customHeight="1">
      <c r="A85" s="94">
        <v>2002</v>
      </c>
      <c r="B85" s="93" t="s">
        <v>194</v>
      </c>
      <c r="C85" s="94">
        <v>2</v>
      </c>
      <c r="D85" s="102">
        <v>22101</v>
      </c>
      <c r="E85" s="103" t="s">
        <v>152</v>
      </c>
      <c r="F85" s="99">
        <v>2500</v>
      </c>
      <c r="G85" s="99"/>
      <c r="H85" s="99"/>
      <c r="I85" s="99"/>
      <c r="J85" s="99"/>
      <c r="K85" s="99"/>
      <c r="L85" s="99">
        <v>2500</v>
      </c>
      <c r="M85" s="99"/>
      <c r="N85" s="99"/>
      <c r="O85" s="99"/>
      <c r="P85" s="99"/>
      <c r="Q85" s="99"/>
      <c r="R85" s="97">
        <f t="shared" si="1"/>
        <v>5000</v>
      </c>
    </row>
    <row r="86" spans="1:18" s="98" customFormat="1" ht="15" customHeight="1">
      <c r="A86" s="94">
        <v>2002</v>
      </c>
      <c r="B86" s="93" t="s">
        <v>194</v>
      </c>
      <c r="C86" s="94">
        <v>2</v>
      </c>
      <c r="D86" s="102">
        <v>26101</v>
      </c>
      <c r="E86" s="103" t="s">
        <v>153</v>
      </c>
      <c r="F86" s="99">
        <v>2500</v>
      </c>
      <c r="G86" s="99">
        <v>2500</v>
      </c>
      <c r="H86" s="99">
        <v>2500</v>
      </c>
      <c r="I86" s="99">
        <v>2500</v>
      </c>
      <c r="J86" s="99">
        <v>2500</v>
      </c>
      <c r="K86" s="99">
        <v>2500</v>
      </c>
      <c r="L86" s="99">
        <v>2500</v>
      </c>
      <c r="M86" s="99">
        <v>2500</v>
      </c>
      <c r="N86" s="99">
        <v>2500</v>
      </c>
      <c r="O86" s="99">
        <v>2500</v>
      </c>
      <c r="P86" s="99">
        <v>2500</v>
      </c>
      <c r="Q86" s="99">
        <v>2500</v>
      </c>
      <c r="R86" s="97">
        <f t="shared" si="1"/>
        <v>30000</v>
      </c>
    </row>
    <row r="87" spans="1:18" s="98" customFormat="1" ht="15" customHeight="1">
      <c r="A87" s="94">
        <v>2002</v>
      </c>
      <c r="B87" s="93" t="s">
        <v>194</v>
      </c>
      <c r="C87" s="94">
        <v>2</v>
      </c>
      <c r="D87" s="102">
        <v>27101</v>
      </c>
      <c r="E87" s="103" t="s">
        <v>195</v>
      </c>
      <c r="F87" s="99"/>
      <c r="G87" s="99">
        <v>5000</v>
      </c>
      <c r="H87" s="99"/>
      <c r="I87" s="99"/>
      <c r="J87" s="99"/>
      <c r="K87" s="99"/>
      <c r="L87" s="99"/>
      <c r="M87" s="99">
        <v>5000</v>
      </c>
      <c r="N87" s="99"/>
      <c r="O87" s="99"/>
      <c r="P87" s="99"/>
      <c r="Q87" s="99"/>
      <c r="R87" s="97">
        <f t="shared" si="1"/>
        <v>10000</v>
      </c>
    </row>
    <row r="88" spans="1:18" s="98" customFormat="1" ht="15" customHeight="1">
      <c r="A88" s="94">
        <v>2002</v>
      </c>
      <c r="B88" s="93" t="s">
        <v>194</v>
      </c>
      <c r="C88" s="94">
        <v>2</v>
      </c>
      <c r="D88" s="102">
        <v>29401</v>
      </c>
      <c r="E88" s="93" t="s">
        <v>155</v>
      </c>
      <c r="F88" s="99"/>
      <c r="G88" s="99">
        <v>500</v>
      </c>
      <c r="H88" s="99"/>
      <c r="I88" s="99"/>
      <c r="J88" s="99"/>
      <c r="K88" s="99"/>
      <c r="L88" s="99">
        <v>500</v>
      </c>
      <c r="M88" s="99"/>
      <c r="N88" s="99"/>
      <c r="O88" s="99"/>
      <c r="P88" s="99"/>
      <c r="Q88" s="99"/>
      <c r="R88" s="97">
        <f t="shared" si="1"/>
        <v>1000</v>
      </c>
    </row>
    <row r="89" spans="1:18" s="98" customFormat="1" ht="15" customHeight="1">
      <c r="A89" s="94">
        <v>2002</v>
      </c>
      <c r="B89" s="93" t="s">
        <v>194</v>
      </c>
      <c r="C89" s="94">
        <v>2</v>
      </c>
      <c r="D89" s="102">
        <v>29602</v>
      </c>
      <c r="E89" s="103" t="s">
        <v>156</v>
      </c>
      <c r="F89" s="99"/>
      <c r="G89" s="99">
        <v>980</v>
      </c>
      <c r="H89" s="99"/>
      <c r="I89" s="99"/>
      <c r="J89" s="99"/>
      <c r="K89" s="99"/>
      <c r="L89" s="99">
        <v>980</v>
      </c>
      <c r="M89" s="99"/>
      <c r="N89" s="99"/>
      <c r="O89" s="99"/>
      <c r="P89" s="99"/>
      <c r="Q89" s="99"/>
      <c r="R89" s="97">
        <f t="shared" si="1"/>
        <v>1960</v>
      </c>
    </row>
    <row r="90" spans="1:18" s="98" customFormat="1" ht="15" customHeight="1">
      <c r="A90" s="94">
        <v>2002</v>
      </c>
      <c r="B90" s="93" t="s">
        <v>194</v>
      </c>
      <c r="C90" s="94">
        <v>2</v>
      </c>
      <c r="D90" s="92">
        <v>31801</v>
      </c>
      <c r="E90" s="100" t="s">
        <v>196</v>
      </c>
      <c r="F90" s="99"/>
      <c r="G90" s="99">
        <v>500</v>
      </c>
      <c r="H90" s="99"/>
      <c r="I90" s="99"/>
      <c r="J90" s="99"/>
      <c r="K90" s="99"/>
      <c r="L90" s="99"/>
      <c r="M90" s="99"/>
      <c r="N90" s="99"/>
      <c r="O90" s="99"/>
      <c r="P90" s="99"/>
      <c r="Q90" s="99"/>
      <c r="R90" s="97">
        <f t="shared" si="1"/>
        <v>500</v>
      </c>
    </row>
    <row r="91" spans="1:18" s="98" customFormat="1" ht="15" customHeight="1">
      <c r="A91" s="94">
        <v>2002</v>
      </c>
      <c r="B91" s="93" t="s">
        <v>194</v>
      </c>
      <c r="C91" s="94">
        <v>2</v>
      </c>
      <c r="D91" s="92">
        <v>33601</v>
      </c>
      <c r="E91" s="95" t="s">
        <v>159</v>
      </c>
      <c r="F91" s="99"/>
      <c r="G91" s="99">
        <v>750</v>
      </c>
      <c r="H91" s="99"/>
      <c r="I91" s="99"/>
      <c r="J91" s="99"/>
      <c r="K91" s="99"/>
      <c r="L91" s="99">
        <v>750</v>
      </c>
      <c r="M91" s="99"/>
      <c r="N91" s="99"/>
      <c r="O91" s="99"/>
      <c r="P91" s="99"/>
      <c r="Q91" s="99"/>
      <c r="R91" s="97">
        <f t="shared" si="1"/>
        <v>1500</v>
      </c>
    </row>
    <row r="92" spans="1:18" s="98" customFormat="1" ht="15" customHeight="1">
      <c r="A92" s="94">
        <v>2002</v>
      </c>
      <c r="B92" s="93" t="s">
        <v>194</v>
      </c>
      <c r="C92" s="94">
        <v>2</v>
      </c>
      <c r="D92" s="92">
        <v>37201</v>
      </c>
      <c r="E92" s="100" t="s">
        <v>164</v>
      </c>
      <c r="F92" s="99"/>
      <c r="G92" s="99">
        <v>400</v>
      </c>
      <c r="H92" s="99"/>
      <c r="I92" s="99"/>
      <c r="J92" s="99"/>
      <c r="K92" s="99"/>
      <c r="L92" s="99">
        <v>400</v>
      </c>
      <c r="M92" s="99"/>
      <c r="N92" s="99"/>
      <c r="O92" s="99"/>
      <c r="P92" s="99"/>
      <c r="Q92" s="99"/>
      <c r="R92" s="97">
        <f t="shared" si="1"/>
        <v>800</v>
      </c>
    </row>
    <row r="93" spans="1:18" s="98" customFormat="1" ht="15" customHeight="1">
      <c r="A93" s="94">
        <v>2002</v>
      </c>
      <c r="B93" s="93" t="s">
        <v>194</v>
      </c>
      <c r="C93" s="94">
        <v>2</v>
      </c>
      <c r="D93" s="92">
        <v>37202</v>
      </c>
      <c r="E93" s="100" t="s">
        <v>165</v>
      </c>
      <c r="F93" s="99"/>
      <c r="G93" s="99">
        <v>500</v>
      </c>
      <c r="H93" s="99"/>
      <c r="I93" s="99">
        <v>500</v>
      </c>
      <c r="J93" s="99"/>
      <c r="K93" s="99"/>
      <c r="L93" s="99"/>
      <c r="M93" s="99">
        <v>500</v>
      </c>
      <c r="N93" s="99"/>
      <c r="O93" s="99"/>
      <c r="P93" s="99">
        <v>500</v>
      </c>
      <c r="Q93" s="99">
        <v>500</v>
      </c>
      <c r="R93" s="97">
        <f t="shared" si="1"/>
        <v>2500</v>
      </c>
    </row>
    <row r="94" spans="1:18" s="98" customFormat="1" ht="15" customHeight="1">
      <c r="A94" s="94">
        <v>2002</v>
      </c>
      <c r="B94" s="93" t="s">
        <v>194</v>
      </c>
      <c r="C94" s="94">
        <v>2</v>
      </c>
      <c r="D94" s="92">
        <v>37204</v>
      </c>
      <c r="E94" s="100" t="s">
        <v>167</v>
      </c>
      <c r="F94" s="99">
        <v>100</v>
      </c>
      <c r="G94" s="99">
        <v>100</v>
      </c>
      <c r="H94" s="99">
        <v>100</v>
      </c>
      <c r="I94" s="99">
        <v>100</v>
      </c>
      <c r="J94" s="99">
        <v>100</v>
      </c>
      <c r="K94" s="99">
        <v>100</v>
      </c>
      <c r="L94" s="99">
        <v>100</v>
      </c>
      <c r="M94" s="99">
        <v>100</v>
      </c>
      <c r="N94" s="99">
        <v>100</v>
      </c>
      <c r="O94" s="99">
        <v>100</v>
      </c>
      <c r="P94" s="99">
        <v>100</v>
      </c>
      <c r="Q94" s="99">
        <v>100</v>
      </c>
      <c r="R94" s="97">
        <f t="shared" si="1"/>
        <v>1200</v>
      </c>
    </row>
    <row r="95" spans="1:18" s="98" customFormat="1" ht="15" customHeight="1">
      <c r="A95" s="94">
        <v>2002</v>
      </c>
      <c r="B95" s="93" t="s">
        <v>194</v>
      </c>
      <c r="C95" s="94">
        <v>2</v>
      </c>
      <c r="D95" s="92">
        <v>37501</v>
      </c>
      <c r="E95" s="100" t="s">
        <v>168</v>
      </c>
      <c r="F95" s="99"/>
      <c r="G95" s="99">
        <v>5000</v>
      </c>
      <c r="H95" s="99"/>
      <c r="I95" s="99"/>
      <c r="J95" s="99"/>
      <c r="K95" s="99"/>
      <c r="L95" s="99">
        <v>5000</v>
      </c>
      <c r="M95" s="99"/>
      <c r="N95" s="99"/>
      <c r="O95" s="99"/>
      <c r="P95" s="99"/>
      <c r="Q95" s="99"/>
      <c r="R95" s="97">
        <f t="shared" si="1"/>
        <v>10000</v>
      </c>
    </row>
    <row r="96" spans="1:18" s="98" customFormat="1" ht="15" customHeight="1">
      <c r="A96" s="94">
        <v>2002</v>
      </c>
      <c r="B96" s="93" t="s">
        <v>194</v>
      </c>
      <c r="C96" s="94">
        <v>2</v>
      </c>
      <c r="D96" s="92">
        <v>37502</v>
      </c>
      <c r="E96" s="100" t="s">
        <v>169</v>
      </c>
      <c r="F96" s="99"/>
      <c r="G96" s="99"/>
      <c r="H96" s="99"/>
      <c r="I96" s="99">
        <v>2000</v>
      </c>
      <c r="J96" s="99"/>
      <c r="K96" s="99"/>
      <c r="L96" s="99"/>
      <c r="M96" s="99"/>
      <c r="N96" s="99"/>
      <c r="O96" s="99">
        <v>2000</v>
      </c>
      <c r="P96" s="99"/>
      <c r="Q96" s="99"/>
      <c r="R96" s="97">
        <f t="shared" si="1"/>
        <v>4000</v>
      </c>
    </row>
    <row r="97" spans="1:18" s="98" customFormat="1" ht="15" customHeight="1">
      <c r="A97" s="94">
        <v>2002</v>
      </c>
      <c r="B97" s="93" t="s">
        <v>194</v>
      </c>
      <c r="C97" s="94">
        <v>2</v>
      </c>
      <c r="D97" s="92">
        <v>39801</v>
      </c>
      <c r="E97" s="95" t="s">
        <v>176</v>
      </c>
      <c r="F97" s="96">
        <v>122.83</v>
      </c>
      <c r="G97" s="96">
        <v>122.83</v>
      </c>
      <c r="H97" s="96">
        <v>122.83</v>
      </c>
      <c r="I97" s="96">
        <v>122.83</v>
      </c>
      <c r="J97" s="96">
        <v>122.83</v>
      </c>
      <c r="K97" s="96">
        <v>122.83</v>
      </c>
      <c r="L97" s="96">
        <v>122.83</v>
      </c>
      <c r="M97" s="96">
        <v>122.83</v>
      </c>
      <c r="N97" s="96">
        <v>122.83</v>
      </c>
      <c r="O97" s="96">
        <v>122.83</v>
      </c>
      <c r="P97" s="96">
        <v>122.83</v>
      </c>
      <c r="Q97" s="96">
        <v>122.9</v>
      </c>
      <c r="R97" s="97">
        <f t="shared" si="1"/>
        <v>1474.03</v>
      </c>
    </row>
    <row r="98" spans="1:18" s="98" customFormat="1" ht="15" customHeight="1">
      <c r="A98" s="94">
        <v>2002</v>
      </c>
      <c r="B98" s="93" t="s">
        <v>194</v>
      </c>
      <c r="C98" s="94">
        <v>2</v>
      </c>
      <c r="D98" s="92">
        <v>39802</v>
      </c>
      <c r="E98" s="95" t="s">
        <v>177</v>
      </c>
      <c r="F98" s="96">
        <v>122.83</v>
      </c>
      <c r="G98" s="96">
        <v>122.83</v>
      </c>
      <c r="H98" s="96">
        <v>122.83</v>
      </c>
      <c r="I98" s="96">
        <v>122.83</v>
      </c>
      <c r="J98" s="96">
        <v>122.83</v>
      </c>
      <c r="K98" s="96">
        <v>122.83</v>
      </c>
      <c r="L98" s="96">
        <v>122.83</v>
      </c>
      <c r="M98" s="96">
        <v>122.83</v>
      </c>
      <c r="N98" s="96">
        <v>122.83</v>
      </c>
      <c r="O98" s="96">
        <v>122.83</v>
      </c>
      <c r="P98" s="96">
        <v>122.83</v>
      </c>
      <c r="Q98" s="96">
        <v>122.9</v>
      </c>
      <c r="R98" s="97">
        <f t="shared" si="1"/>
        <v>1474.03</v>
      </c>
    </row>
    <row r="99" spans="1:18" s="98" customFormat="1" ht="15" customHeight="1">
      <c r="A99" s="94">
        <v>2002</v>
      </c>
      <c r="B99" s="93" t="s">
        <v>194</v>
      </c>
      <c r="C99" s="94">
        <v>2</v>
      </c>
      <c r="D99" s="92">
        <v>39803</v>
      </c>
      <c r="E99" s="95" t="s">
        <v>178</v>
      </c>
      <c r="F99" s="96">
        <v>818.9</v>
      </c>
      <c r="G99" s="96">
        <v>818.9</v>
      </c>
      <c r="H99" s="96">
        <v>818.9</v>
      </c>
      <c r="I99" s="96">
        <v>818.9</v>
      </c>
      <c r="J99" s="96">
        <v>818.9</v>
      </c>
      <c r="K99" s="96">
        <v>818.9</v>
      </c>
      <c r="L99" s="96">
        <v>818.9</v>
      </c>
      <c r="M99" s="96">
        <v>818.9</v>
      </c>
      <c r="N99" s="96">
        <v>818.9</v>
      </c>
      <c r="O99" s="96">
        <v>818.9</v>
      </c>
      <c r="P99" s="96">
        <v>818.9</v>
      </c>
      <c r="Q99" s="96">
        <v>818.97</v>
      </c>
      <c r="R99" s="97">
        <f t="shared" si="1"/>
        <v>9826.8699999999972</v>
      </c>
    </row>
    <row r="100" spans="1:18" s="98" customFormat="1" ht="15" customHeight="1">
      <c r="A100" s="94">
        <v>2002</v>
      </c>
      <c r="B100" s="93" t="s">
        <v>194</v>
      </c>
      <c r="C100" s="94">
        <v>2</v>
      </c>
      <c r="D100" s="92">
        <v>39804</v>
      </c>
      <c r="E100" s="95" t="s">
        <v>179</v>
      </c>
      <c r="F100" s="96">
        <v>122.83</v>
      </c>
      <c r="G100" s="96">
        <v>122.83</v>
      </c>
      <c r="H100" s="96">
        <v>122.83</v>
      </c>
      <c r="I100" s="96">
        <v>122.83</v>
      </c>
      <c r="J100" s="96">
        <v>122.83</v>
      </c>
      <c r="K100" s="96">
        <v>122.83</v>
      </c>
      <c r="L100" s="96">
        <v>122.83</v>
      </c>
      <c r="M100" s="96">
        <v>122.83</v>
      </c>
      <c r="N100" s="96">
        <v>122.83</v>
      </c>
      <c r="O100" s="96">
        <v>122.83</v>
      </c>
      <c r="P100" s="96">
        <v>122.83</v>
      </c>
      <c r="Q100" s="96">
        <v>122.9</v>
      </c>
      <c r="R100" s="97">
        <f t="shared" si="1"/>
        <v>1474.03</v>
      </c>
    </row>
    <row r="101" spans="1:18" s="98" customFormat="1" ht="15" customHeight="1">
      <c r="A101" s="94">
        <v>2002</v>
      </c>
      <c r="B101" s="93" t="s">
        <v>194</v>
      </c>
      <c r="C101" s="94">
        <v>2</v>
      </c>
      <c r="D101" s="92">
        <v>51101</v>
      </c>
      <c r="E101" s="104" t="s">
        <v>181</v>
      </c>
      <c r="F101" s="96"/>
      <c r="G101" s="96"/>
      <c r="H101" s="96">
        <v>6000</v>
      </c>
      <c r="I101" s="99"/>
      <c r="J101" s="99"/>
      <c r="K101" s="99"/>
      <c r="L101" s="99"/>
      <c r="M101" s="99"/>
      <c r="N101" s="99"/>
      <c r="O101" s="99"/>
      <c r="P101" s="99"/>
      <c r="Q101" s="99"/>
      <c r="R101" s="97">
        <f t="shared" si="1"/>
        <v>6000</v>
      </c>
    </row>
    <row r="102" spans="1:18" s="98" customFormat="1" ht="15" customHeight="1">
      <c r="A102" s="92">
        <v>2003</v>
      </c>
      <c r="B102" s="93" t="s">
        <v>197</v>
      </c>
      <c r="C102" s="94">
        <v>2</v>
      </c>
      <c r="D102" s="92">
        <v>11301</v>
      </c>
      <c r="E102" s="95" t="s">
        <v>128</v>
      </c>
      <c r="F102" s="96">
        <v>140197.21</v>
      </c>
      <c r="G102" s="96">
        <v>140197.21</v>
      </c>
      <c r="H102" s="96">
        <v>140197.21</v>
      </c>
      <c r="I102" s="96">
        <v>140197.21</v>
      </c>
      <c r="J102" s="96">
        <v>140197.21</v>
      </c>
      <c r="K102" s="96">
        <v>140197.21</v>
      </c>
      <c r="L102" s="96">
        <v>140197.21</v>
      </c>
      <c r="M102" s="96">
        <v>140197.21</v>
      </c>
      <c r="N102" s="96">
        <v>140197.21</v>
      </c>
      <c r="O102" s="96">
        <v>140197.21</v>
      </c>
      <c r="P102" s="96">
        <v>140197.21</v>
      </c>
      <c r="Q102" s="96">
        <v>140197.21</v>
      </c>
      <c r="R102" s="97">
        <f t="shared" si="1"/>
        <v>1682366.5199999998</v>
      </c>
    </row>
    <row r="103" spans="1:18" s="98" customFormat="1" ht="15" customHeight="1">
      <c r="A103" s="92">
        <v>2003</v>
      </c>
      <c r="B103" s="93" t="s">
        <v>197</v>
      </c>
      <c r="C103" s="94">
        <v>2</v>
      </c>
      <c r="D103" s="92">
        <v>11302</v>
      </c>
      <c r="E103" s="95" t="s">
        <v>129</v>
      </c>
      <c r="F103" s="96">
        <v>140197.21</v>
      </c>
      <c r="G103" s="96">
        <v>140197.21</v>
      </c>
      <c r="H103" s="96">
        <v>140197.21</v>
      </c>
      <c r="I103" s="96">
        <v>140197.21</v>
      </c>
      <c r="J103" s="96">
        <v>140197.21</v>
      </c>
      <c r="K103" s="96">
        <v>140197.21</v>
      </c>
      <c r="L103" s="96">
        <v>140197.21</v>
      </c>
      <c r="M103" s="96">
        <v>140197.21</v>
      </c>
      <c r="N103" s="96">
        <v>140197.21</v>
      </c>
      <c r="O103" s="96">
        <v>140197.21</v>
      </c>
      <c r="P103" s="96">
        <v>140197.21</v>
      </c>
      <c r="Q103" s="96">
        <v>140197.21</v>
      </c>
      <c r="R103" s="97">
        <f t="shared" si="1"/>
        <v>1682366.5199999998</v>
      </c>
    </row>
    <row r="104" spans="1:18" s="98" customFormat="1" ht="15" customHeight="1">
      <c r="A104" s="92">
        <v>2003</v>
      </c>
      <c r="B104" s="93" t="s">
        <v>197</v>
      </c>
      <c r="C104" s="94">
        <v>2</v>
      </c>
      <c r="D104" s="92">
        <v>11304</v>
      </c>
      <c r="E104" s="95" t="s">
        <v>131</v>
      </c>
      <c r="F104" s="96">
        <v>101500.29</v>
      </c>
      <c r="G104" s="96">
        <v>101500.29</v>
      </c>
      <c r="H104" s="96">
        <v>101500.29</v>
      </c>
      <c r="I104" s="96">
        <v>101500.29</v>
      </c>
      <c r="J104" s="96">
        <v>101500.29</v>
      </c>
      <c r="K104" s="96">
        <v>101500.29</v>
      </c>
      <c r="L104" s="96">
        <v>101500.29</v>
      </c>
      <c r="M104" s="96">
        <v>101500.29</v>
      </c>
      <c r="N104" s="96">
        <v>101500.29</v>
      </c>
      <c r="O104" s="96">
        <v>101500.29</v>
      </c>
      <c r="P104" s="96">
        <v>101500.29</v>
      </c>
      <c r="Q104" s="96">
        <v>101500.29</v>
      </c>
      <c r="R104" s="97">
        <f t="shared" si="1"/>
        <v>1218003.4800000002</v>
      </c>
    </row>
    <row r="105" spans="1:18" s="98" customFormat="1" ht="15" customHeight="1">
      <c r="A105" s="92">
        <v>2003</v>
      </c>
      <c r="B105" s="93" t="s">
        <v>197</v>
      </c>
      <c r="C105" s="94">
        <v>2</v>
      </c>
      <c r="D105" s="92">
        <v>13101</v>
      </c>
      <c r="E105" s="95" t="s">
        <v>132</v>
      </c>
      <c r="F105" s="96">
        <v>4745.5999999999995</v>
      </c>
      <c r="G105" s="96">
        <v>4745.5999999999995</v>
      </c>
      <c r="H105" s="96">
        <v>4745.5999999999995</v>
      </c>
      <c r="I105" s="96">
        <v>4745.5999999999995</v>
      </c>
      <c r="J105" s="96">
        <v>4745.5999999999995</v>
      </c>
      <c r="K105" s="96">
        <v>4745.5999999999995</v>
      </c>
      <c r="L105" s="96">
        <v>4745.5999999999995</v>
      </c>
      <c r="M105" s="96">
        <v>4745.5999999999995</v>
      </c>
      <c r="N105" s="96">
        <v>4745.5999999999995</v>
      </c>
      <c r="O105" s="96">
        <v>4745.5999999999995</v>
      </c>
      <c r="P105" s="96">
        <v>4745.5999999999995</v>
      </c>
      <c r="Q105" s="96">
        <v>4745.5999999999995</v>
      </c>
      <c r="R105" s="97">
        <f t="shared" si="1"/>
        <v>56947.19999999999</v>
      </c>
    </row>
    <row r="106" spans="1:18" s="98" customFormat="1" ht="15" customHeight="1">
      <c r="A106" s="92">
        <v>2003</v>
      </c>
      <c r="B106" s="93" t="s">
        <v>197</v>
      </c>
      <c r="C106" s="94">
        <v>2</v>
      </c>
      <c r="D106" s="92">
        <v>13201</v>
      </c>
      <c r="E106" s="95" t="s">
        <v>133</v>
      </c>
      <c r="F106" s="96">
        <v>6709.75</v>
      </c>
      <c r="G106" s="96">
        <v>6709.75</v>
      </c>
      <c r="H106" s="96">
        <v>6709.75</v>
      </c>
      <c r="I106" s="96">
        <v>6709.75</v>
      </c>
      <c r="J106" s="96">
        <v>6709.75</v>
      </c>
      <c r="K106" s="96">
        <v>6709.75</v>
      </c>
      <c r="L106" s="96">
        <v>6709.75</v>
      </c>
      <c r="M106" s="96">
        <v>6709.75</v>
      </c>
      <c r="N106" s="96">
        <v>6709.75</v>
      </c>
      <c r="O106" s="96">
        <v>6709.75</v>
      </c>
      <c r="P106" s="96">
        <v>6709.75</v>
      </c>
      <c r="Q106" s="96">
        <v>6709.83</v>
      </c>
      <c r="R106" s="97">
        <f t="shared" si="1"/>
        <v>80517.08</v>
      </c>
    </row>
    <row r="107" spans="1:18" s="98" customFormat="1" ht="15" customHeight="1">
      <c r="A107" s="92">
        <v>2003</v>
      </c>
      <c r="B107" s="93" t="s">
        <v>197</v>
      </c>
      <c r="C107" s="94">
        <v>2</v>
      </c>
      <c r="D107" s="92">
        <v>13202</v>
      </c>
      <c r="E107" s="95" t="s">
        <v>198</v>
      </c>
      <c r="F107" s="96">
        <v>1512.92</v>
      </c>
      <c r="G107" s="96">
        <v>1512.92</v>
      </c>
      <c r="H107" s="96">
        <v>1512.92</v>
      </c>
      <c r="I107" s="96">
        <v>1512.92</v>
      </c>
      <c r="J107" s="96">
        <v>1512.92</v>
      </c>
      <c r="K107" s="96">
        <v>1512.92</v>
      </c>
      <c r="L107" s="96">
        <v>1512.92</v>
      </c>
      <c r="M107" s="96">
        <v>1512.92</v>
      </c>
      <c r="N107" s="96">
        <v>1512.92</v>
      </c>
      <c r="O107" s="96">
        <v>1512.92</v>
      </c>
      <c r="P107" s="96">
        <v>1512.92</v>
      </c>
      <c r="Q107" s="96">
        <v>1512.96</v>
      </c>
      <c r="R107" s="97">
        <f t="shared" si="1"/>
        <v>18155.080000000002</v>
      </c>
    </row>
    <row r="108" spans="1:18" s="98" customFormat="1" ht="15" customHeight="1">
      <c r="A108" s="92">
        <v>2003</v>
      </c>
      <c r="B108" s="93" t="s">
        <v>197</v>
      </c>
      <c r="C108" s="94">
        <v>2</v>
      </c>
      <c r="D108" s="92">
        <v>13203</v>
      </c>
      <c r="E108" s="95" t="s">
        <v>134</v>
      </c>
      <c r="F108" s="96">
        <v>87379.22</v>
      </c>
      <c r="G108" s="96">
        <v>87379.22</v>
      </c>
      <c r="H108" s="96">
        <v>87379.22</v>
      </c>
      <c r="I108" s="96">
        <v>87379.22</v>
      </c>
      <c r="J108" s="96">
        <v>87379.22</v>
      </c>
      <c r="K108" s="96">
        <v>87379.22</v>
      </c>
      <c r="L108" s="96">
        <v>87379.22</v>
      </c>
      <c r="M108" s="96">
        <v>87379.22</v>
      </c>
      <c r="N108" s="96">
        <v>87379.22</v>
      </c>
      <c r="O108" s="96">
        <v>87379.22</v>
      </c>
      <c r="P108" s="96">
        <v>87379.22</v>
      </c>
      <c r="Q108" s="96">
        <v>87379.28</v>
      </c>
      <c r="R108" s="97">
        <f t="shared" si="1"/>
        <v>1048550.6999999998</v>
      </c>
    </row>
    <row r="109" spans="1:18" s="98" customFormat="1" ht="15" customHeight="1">
      <c r="A109" s="92">
        <v>2003</v>
      </c>
      <c r="B109" s="93" t="s">
        <v>197</v>
      </c>
      <c r="C109" s="94">
        <v>2</v>
      </c>
      <c r="D109" s="92">
        <v>13401</v>
      </c>
      <c r="E109" s="95" t="s">
        <v>135</v>
      </c>
      <c r="F109" s="96">
        <v>14998.18</v>
      </c>
      <c r="G109" s="96">
        <v>14998.18</v>
      </c>
      <c r="H109" s="96">
        <v>14998.18</v>
      </c>
      <c r="I109" s="96">
        <v>14998.18</v>
      </c>
      <c r="J109" s="96">
        <v>14998.18</v>
      </c>
      <c r="K109" s="96">
        <v>14998.18</v>
      </c>
      <c r="L109" s="96">
        <v>14998.18</v>
      </c>
      <c r="M109" s="96">
        <v>14998.18</v>
      </c>
      <c r="N109" s="96">
        <v>14998.18</v>
      </c>
      <c r="O109" s="96">
        <v>14998.18</v>
      </c>
      <c r="P109" s="96">
        <v>14998.18</v>
      </c>
      <c r="Q109" s="96">
        <v>14998.18</v>
      </c>
      <c r="R109" s="97">
        <f t="shared" si="1"/>
        <v>179978.15999999995</v>
      </c>
    </row>
    <row r="110" spans="1:18" s="98" customFormat="1" ht="15" customHeight="1">
      <c r="A110" s="92">
        <v>2003</v>
      </c>
      <c r="B110" s="93" t="s">
        <v>197</v>
      </c>
      <c r="C110" s="94">
        <v>2</v>
      </c>
      <c r="D110" s="92">
        <v>14101</v>
      </c>
      <c r="E110" s="95" t="s">
        <v>136</v>
      </c>
      <c r="F110" s="96">
        <v>11914.11</v>
      </c>
      <c r="G110" s="96">
        <v>11914.11</v>
      </c>
      <c r="H110" s="96">
        <v>11914.11</v>
      </c>
      <c r="I110" s="96">
        <v>11914.11</v>
      </c>
      <c r="J110" s="96">
        <v>11914.11</v>
      </c>
      <c r="K110" s="96">
        <v>11914.11</v>
      </c>
      <c r="L110" s="96">
        <v>11914.11</v>
      </c>
      <c r="M110" s="96">
        <v>11914.11</v>
      </c>
      <c r="N110" s="96">
        <v>11914.11</v>
      </c>
      <c r="O110" s="96">
        <v>11914.11</v>
      </c>
      <c r="P110" s="96">
        <v>11914.11</v>
      </c>
      <c r="Q110" s="96">
        <v>11914.11</v>
      </c>
      <c r="R110" s="97">
        <f t="shared" si="1"/>
        <v>142969.32</v>
      </c>
    </row>
    <row r="111" spans="1:18" s="98" customFormat="1" ht="15" customHeight="1">
      <c r="A111" s="92">
        <v>2003</v>
      </c>
      <c r="B111" s="93" t="s">
        <v>197</v>
      </c>
      <c r="C111" s="94">
        <v>2</v>
      </c>
      <c r="D111" s="92">
        <v>14102</v>
      </c>
      <c r="E111" s="95" t="s">
        <v>137</v>
      </c>
      <c r="F111" s="96">
        <v>47392.959999999999</v>
      </c>
      <c r="G111" s="96">
        <v>47392.959999999999</v>
      </c>
      <c r="H111" s="96">
        <v>47392.959999999999</v>
      </c>
      <c r="I111" s="96">
        <v>47392.959999999999</v>
      </c>
      <c r="J111" s="96">
        <v>47392.959999999999</v>
      </c>
      <c r="K111" s="96">
        <v>47392.959999999999</v>
      </c>
      <c r="L111" s="96">
        <v>47392.959999999999</v>
      </c>
      <c r="M111" s="96">
        <v>47392.959999999999</v>
      </c>
      <c r="N111" s="96">
        <v>47392.959999999999</v>
      </c>
      <c r="O111" s="96">
        <v>47392.959999999999</v>
      </c>
      <c r="P111" s="96">
        <v>47392.959999999999</v>
      </c>
      <c r="Q111" s="96">
        <v>47392.959999999999</v>
      </c>
      <c r="R111" s="97">
        <f t="shared" si="1"/>
        <v>568715.52000000014</v>
      </c>
    </row>
    <row r="112" spans="1:18" s="98" customFormat="1" ht="15" customHeight="1">
      <c r="A112" s="92">
        <v>2003</v>
      </c>
      <c r="B112" s="93" t="s">
        <v>197</v>
      </c>
      <c r="C112" s="94">
        <v>2</v>
      </c>
      <c r="D112" s="92">
        <v>14103</v>
      </c>
      <c r="E112" s="95" t="s">
        <v>138</v>
      </c>
      <c r="F112" s="96">
        <v>4195.22</v>
      </c>
      <c r="G112" s="96">
        <v>4195.22</v>
      </c>
      <c r="H112" s="96">
        <v>4195.22</v>
      </c>
      <c r="I112" s="96">
        <v>4195.22</v>
      </c>
      <c r="J112" s="96">
        <v>4195.22</v>
      </c>
      <c r="K112" s="96">
        <v>4195.22</v>
      </c>
      <c r="L112" s="96">
        <v>4195.22</v>
      </c>
      <c r="M112" s="96">
        <v>4195.22</v>
      </c>
      <c r="N112" s="96">
        <v>4195.22</v>
      </c>
      <c r="O112" s="96">
        <v>4195.22</v>
      </c>
      <c r="P112" s="96">
        <v>4195.22</v>
      </c>
      <c r="Q112" s="96">
        <v>4195.2299999999996</v>
      </c>
      <c r="R112" s="97">
        <f t="shared" si="1"/>
        <v>50342.650000000009</v>
      </c>
    </row>
    <row r="113" spans="1:18" s="98" customFormat="1" ht="15" customHeight="1">
      <c r="A113" s="92">
        <v>2003</v>
      </c>
      <c r="B113" s="93" t="s">
        <v>197</v>
      </c>
      <c r="C113" s="94">
        <v>2</v>
      </c>
      <c r="D113" s="92">
        <v>15201</v>
      </c>
      <c r="E113" s="95" t="s">
        <v>139</v>
      </c>
      <c r="F113" s="96">
        <v>2288</v>
      </c>
      <c r="G113" s="96">
        <v>2288</v>
      </c>
      <c r="H113" s="96">
        <v>2288</v>
      </c>
      <c r="I113" s="96">
        <v>2288</v>
      </c>
      <c r="J113" s="96">
        <v>2288</v>
      </c>
      <c r="K113" s="96">
        <v>2288</v>
      </c>
      <c r="L113" s="96">
        <v>2288</v>
      </c>
      <c r="M113" s="96">
        <v>2288</v>
      </c>
      <c r="N113" s="96">
        <v>2288</v>
      </c>
      <c r="O113" s="96">
        <v>2288</v>
      </c>
      <c r="P113" s="96">
        <v>2288</v>
      </c>
      <c r="Q113" s="96">
        <v>2288</v>
      </c>
      <c r="R113" s="97">
        <f t="shared" si="1"/>
        <v>27456</v>
      </c>
    </row>
    <row r="114" spans="1:18" s="98" customFormat="1" ht="15" customHeight="1">
      <c r="A114" s="92">
        <v>2003</v>
      </c>
      <c r="B114" s="93" t="s">
        <v>197</v>
      </c>
      <c r="C114" s="94">
        <v>2</v>
      </c>
      <c r="D114" s="92">
        <v>15401</v>
      </c>
      <c r="E114" s="95" t="s">
        <v>140</v>
      </c>
      <c r="F114" s="96">
        <v>6812.67</v>
      </c>
      <c r="G114" s="96">
        <v>6812.67</v>
      </c>
      <c r="H114" s="96">
        <v>6812.67</v>
      </c>
      <c r="I114" s="96">
        <v>6812.67</v>
      </c>
      <c r="J114" s="96">
        <v>6812.67</v>
      </c>
      <c r="K114" s="96">
        <v>6812.67</v>
      </c>
      <c r="L114" s="96">
        <v>6812.67</v>
      </c>
      <c r="M114" s="96">
        <v>6812.67</v>
      </c>
      <c r="N114" s="96">
        <v>6812.67</v>
      </c>
      <c r="O114" s="96">
        <v>6812.67</v>
      </c>
      <c r="P114" s="96">
        <v>6812.67</v>
      </c>
      <c r="Q114" s="96">
        <v>6812.74</v>
      </c>
      <c r="R114" s="97">
        <f t="shared" si="1"/>
        <v>81752.11</v>
      </c>
    </row>
    <row r="115" spans="1:18" s="98" customFormat="1" ht="15" customHeight="1">
      <c r="A115" s="92">
        <v>2003</v>
      </c>
      <c r="B115" s="93" t="s">
        <v>197</v>
      </c>
      <c r="C115" s="94">
        <v>2</v>
      </c>
      <c r="D115" s="92">
        <v>15404</v>
      </c>
      <c r="E115" s="95" t="s">
        <v>142</v>
      </c>
      <c r="F115" s="96">
        <v>18028.62</v>
      </c>
      <c r="G115" s="96">
        <v>18028.62</v>
      </c>
      <c r="H115" s="96">
        <v>18028.62</v>
      </c>
      <c r="I115" s="96">
        <v>18028.62</v>
      </c>
      <c r="J115" s="96">
        <v>18028.62</v>
      </c>
      <c r="K115" s="96">
        <v>18028.62</v>
      </c>
      <c r="L115" s="96">
        <v>18028.62</v>
      </c>
      <c r="M115" s="96">
        <v>18028.62</v>
      </c>
      <c r="N115" s="96">
        <v>18028.62</v>
      </c>
      <c r="O115" s="96">
        <v>18028.62</v>
      </c>
      <c r="P115" s="96">
        <v>18028.62</v>
      </c>
      <c r="Q115" s="96">
        <v>18028.66</v>
      </c>
      <c r="R115" s="97">
        <f t="shared" si="1"/>
        <v>216343.47999999998</v>
      </c>
    </row>
    <row r="116" spans="1:18" s="98" customFormat="1" ht="15" customHeight="1">
      <c r="A116" s="92">
        <v>2003</v>
      </c>
      <c r="B116" s="93" t="s">
        <v>197</v>
      </c>
      <c r="C116" s="94">
        <v>2</v>
      </c>
      <c r="D116" s="92">
        <v>15405</v>
      </c>
      <c r="E116" s="95" t="s">
        <v>143</v>
      </c>
      <c r="F116" s="96">
        <v>4514.3599999999997</v>
      </c>
      <c r="G116" s="96">
        <v>4514.3599999999997</v>
      </c>
      <c r="H116" s="96">
        <v>4514.3599999999997</v>
      </c>
      <c r="I116" s="96">
        <v>4514.3599999999997</v>
      </c>
      <c r="J116" s="96">
        <v>4514.3599999999997</v>
      </c>
      <c r="K116" s="96">
        <v>4514.3599999999997</v>
      </c>
      <c r="L116" s="96">
        <v>4514.3599999999997</v>
      </c>
      <c r="M116" s="96">
        <v>4514.3599999999997</v>
      </c>
      <c r="N116" s="96">
        <v>4514.3599999999997</v>
      </c>
      <c r="O116" s="96">
        <v>4514.3599999999997</v>
      </c>
      <c r="P116" s="96">
        <v>4514.3599999999997</v>
      </c>
      <c r="Q116" s="96">
        <v>4514.3599999999997</v>
      </c>
      <c r="R116" s="97">
        <f t="shared" si="1"/>
        <v>54172.32</v>
      </c>
    </row>
    <row r="117" spans="1:18" s="98" customFormat="1" ht="15" customHeight="1">
      <c r="A117" s="92">
        <v>2003</v>
      </c>
      <c r="B117" s="93" t="s">
        <v>197</v>
      </c>
      <c r="C117" s="94">
        <v>2</v>
      </c>
      <c r="D117" s="92">
        <v>15407</v>
      </c>
      <c r="E117" s="95" t="s">
        <v>144</v>
      </c>
      <c r="F117" s="99">
        <v>3692.98</v>
      </c>
      <c r="G117" s="99">
        <v>3692.98</v>
      </c>
      <c r="H117" s="99">
        <v>3692.98</v>
      </c>
      <c r="I117" s="99">
        <v>3692.98</v>
      </c>
      <c r="J117" s="99">
        <v>3692.98</v>
      </c>
      <c r="K117" s="99">
        <v>3692.98</v>
      </c>
      <c r="L117" s="99">
        <v>3692.98</v>
      </c>
      <c r="M117" s="99">
        <v>3692.98</v>
      </c>
      <c r="N117" s="99">
        <v>3692.98</v>
      </c>
      <c r="O117" s="99">
        <v>3692.98</v>
      </c>
      <c r="P117" s="99">
        <v>3692.98</v>
      </c>
      <c r="Q117" s="99">
        <v>3693</v>
      </c>
      <c r="R117" s="97">
        <f t="shared" si="1"/>
        <v>44315.780000000006</v>
      </c>
    </row>
    <row r="118" spans="1:18" s="98" customFormat="1" ht="15" customHeight="1">
      <c r="A118" s="92">
        <v>2003</v>
      </c>
      <c r="B118" s="93" t="s">
        <v>197</v>
      </c>
      <c r="C118" s="94">
        <v>2</v>
      </c>
      <c r="D118" s="92">
        <v>15902</v>
      </c>
      <c r="E118" s="95" t="s">
        <v>145</v>
      </c>
      <c r="F118" s="96">
        <v>0</v>
      </c>
      <c r="G118" s="96">
        <v>17400</v>
      </c>
      <c r="H118" s="96"/>
      <c r="I118" s="96">
        <v>0</v>
      </c>
      <c r="J118" s="96">
        <v>0</v>
      </c>
      <c r="K118" s="96">
        <v>0</v>
      </c>
      <c r="L118" s="96">
        <v>0</v>
      </c>
      <c r="M118" s="96">
        <v>900</v>
      </c>
      <c r="N118" s="96">
        <v>0</v>
      </c>
      <c r="O118" s="96">
        <v>0</v>
      </c>
      <c r="P118" s="96">
        <v>0</v>
      </c>
      <c r="Q118" s="96">
        <v>0</v>
      </c>
      <c r="R118" s="97">
        <f t="shared" si="1"/>
        <v>18300</v>
      </c>
    </row>
    <row r="119" spans="1:18" s="98" customFormat="1" ht="15" customHeight="1">
      <c r="A119" s="92">
        <v>2003</v>
      </c>
      <c r="B119" s="93" t="s">
        <v>197</v>
      </c>
      <c r="C119" s="94">
        <v>2</v>
      </c>
      <c r="D119" s="92">
        <v>15903</v>
      </c>
      <c r="E119" s="95" t="s">
        <v>146</v>
      </c>
      <c r="F119" s="96">
        <v>0</v>
      </c>
      <c r="G119" s="96">
        <v>0</v>
      </c>
      <c r="H119" s="96">
        <v>0</v>
      </c>
      <c r="I119" s="96">
        <v>0</v>
      </c>
      <c r="J119" s="96">
        <v>0</v>
      </c>
      <c r="K119" s="96">
        <v>0</v>
      </c>
      <c r="L119" s="96">
        <v>0</v>
      </c>
      <c r="M119" s="96">
        <v>60000</v>
      </c>
      <c r="N119" s="96"/>
      <c r="O119" s="96"/>
      <c r="P119" s="96">
        <v>0</v>
      </c>
      <c r="Q119" s="96">
        <v>0</v>
      </c>
      <c r="R119" s="97">
        <f t="shared" si="1"/>
        <v>60000</v>
      </c>
    </row>
    <row r="120" spans="1:18" s="98" customFormat="1" ht="15" customHeight="1">
      <c r="A120" s="92">
        <v>2003</v>
      </c>
      <c r="B120" s="93" t="s">
        <v>197</v>
      </c>
      <c r="C120" s="94">
        <v>2</v>
      </c>
      <c r="D120" s="92">
        <v>15904</v>
      </c>
      <c r="E120" s="95" t="s">
        <v>147</v>
      </c>
      <c r="F120" s="96">
        <v>0</v>
      </c>
      <c r="G120" s="96">
        <v>0</v>
      </c>
      <c r="H120" s="96">
        <v>0</v>
      </c>
      <c r="I120" s="96">
        <v>0</v>
      </c>
      <c r="J120" s="96">
        <v>71400</v>
      </c>
      <c r="K120" s="96">
        <v>0</v>
      </c>
      <c r="L120" s="96">
        <v>0</v>
      </c>
      <c r="M120" s="96">
        <v>0</v>
      </c>
      <c r="N120" s="96">
        <v>0</v>
      </c>
      <c r="O120" s="96">
        <v>0</v>
      </c>
      <c r="P120" s="96">
        <v>0</v>
      </c>
      <c r="Q120" s="96">
        <v>0</v>
      </c>
      <c r="R120" s="97">
        <f t="shared" si="1"/>
        <v>71400</v>
      </c>
    </row>
    <row r="121" spans="1:18" s="98" customFormat="1" ht="15" customHeight="1">
      <c r="A121" s="92">
        <v>2003</v>
      </c>
      <c r="B121" s="93" t="s">
        <v>197</v>
      </c>
      <c r="C121" s="94">
        <v>2</v>
      </c>
      <c r="D121" s="92">
        <v>15905</v>
      </c>
      <c r="E121" s="95" t="s">
        <v>148</v>
      </c>
      <c r="F121" s="96">
        <v>0</v>
      </c>
      <c r="G121" s="96">
        <v>0</v>
      </c>
      <c r="H121" s="96">
        <v>0</v>
      </c>
      <c r="I121" s="96">
        <v>0</v>
      </c>
      <c r="J121" s="96">
        <v>0</v>
      </c>
      <c r="K121" s="96">
        <v>1200</v>
      </c>
      <c r="L121" s="96">
        <v>0</v>
      </c>
      <c r="M121" s="96">
        <v>0</v>
      </c>
      <c r="N121" s="96">
        <v>0</v>
      </c>
      <c r="O121" s="96">
        <v>0</v>
      </c>
      <c r="P121" s="96">
        <v>0</v>
      </c>
      <c r="Q121" s="96">
        <v>0</v>
      </c>
      <c r="R121" s="97">
        <f t="shared" si="1"/>
        <v>1200</v>
      </c>
    </row>
    <row r="122" spans="1:18" s="98" customFormat="1" ht="15" customHeight="1">
      <c r="A122" s="94">
        <v>2003</v>
      </c>
      <c r="B122" s="93" t="s">
        <v>197</v>
      </c>
      <c r="C122" s="94">
        <v>2</v>
      </c>
      <c r="D122" s="94">
        <v>21101</v>
      </c>
      <c r="E122" s="93" t="s">
        <v>150</v>
      </c>
      <c r="F122" s="99">
        <v>2000</v>
      </c>
      <c r="G122" s="99">
        <v>2000</v>
      </c>
      <c r="H122" s="99">
        <v>2000</v>
      </c>
      <c r="I122" s="99">
        <v>2000</v>
      </c>
      <c r="J122" s="99">
        <v>2000</v>
      </c>
      <c r="K122" s="99">
        <v>2000</v>
      </c>
      <c r="L122" s="99">
        <v>2000</v>
      </c>
      <c r="M122" s="99">
        <v>2000</v>
      </c>
      <c r="N122" s="99">
        <v>2000</v>
      </c>
      <c r="O122" s="99">
        <v>2000</v>
      </c>
      <c r="P122" s="99">
        <v>2000</v>
      </c>
      <c r="Q122" s="99">
        <v>2000</v>
      </c>
      <c r="R122" s="97">
        <f t="shared" si="1"/>
        <v>24000</v>
      </c>
    </row>
    <row r="123" spans="1:18" s="98" customFormat="1" ht="15" customHeight="1">
      <c r="A123" s="94">
        <v>2003</v>
      </c>
      <c r="B123" s="93" t="s">
        <v>197</v>
      </c>
      <c r="C123" s="94">
        <v>2</v>
      </c>
      <c r="D123" s="94">
        <v>21401</v>
      </c>
      <c r="E123" s="93" t="s">
        <v>151</v>
      </c>
      <c r="F123" s="99">
        <v>2000</v>
      </c>
      <c r="G123" s="99">
        <v>2000</v>
      </c>
      <c r="H123" s="99">
        <v>2000</v>
      </c>
      <c r="I123" s="99">
        <v>1000</v>
      </c>
      <c r="J123" s="99">
        <v>1000</v>
      </c>
      <c r="K123" s="99">
        <v>1000</v>
      </c>
      <c r="L123" s="99">
        <v>2000</v>
      </c>
      <c r="M123" s="99">
        <v>2000</v>
      </c>
      <c r="N123" s="99">
        <v>2000</v>
      </c>
      <c r="O123" s="99">
        <v>2000</v>
      </c>
      <c r="P123" s="99">
        <v>2000</v>
      </c>
      <c r="Q123" s="99">
        <v>2000</v>
      </c>
      <c r="R123" s="97">
        <f t="shared" si="1"/>
        <v>21000</v>
      </c>
    </row>
    <row r="124" spans="1:18" s="98" customFormat="1" ht="15" customHeight="1">
      <c r="A124" s="94">
        <v>2003</v>
      </c>
      <c r="B124" s="93" t="s">
        <v>197</v>
      </c>
      <c r="C124" s="94">
        <v>2</v>
      </c>
      <c r="D124" s="94">
        <v>29401</v>
      </c>
      <c r="E124" s="93" t="s">
        <v>155</v>
      </c>
      <c r="F124" s="99">
        <v>300</v>
      </c>
      <c r="G124" s="99">
        <v>300</v>
      </c>
      <c r="H124" s="99">
        <v>300</v>
      </c>
      <c r="I124" s="99">
        <v>300</v>
      </c>
      <c r="J124" s="99">
        <v>300</v>
      </c>
      <c r="K124" s="99">
        <v>300</v>
      </c>
      <c r="L124" s="99">
        <v>300</v>
      </c>
      <c r="M124" s="99">
        <v>300</v>
      </c>
      <c r="N124" s="99">
        <v>300</v>
      </c>
      <c r="O124" s="99">
        <v>300</v>
      </c>
      <c r="P124" s="99">
        <v>300</v>
      </c>
      <c r="Q124" s="99">
        <v>300</v>
      </c>
      <c r="R124" s="97">
        <f t="shared" si="1"/>
        <v>3600</v>
      </c>
    </row>
    <row r="125" spans="1:18" s="98" customFormat="1" ht="15" customHeight="1">
      <c r="A125" s="94">
        <v>2003</v>
      </c>
      <c r="B125" s="93" t="s">
        <v>197</v>
      </c>
      <c r="C125" s="94">
        <v>2</v>
      </c>
      <c r="D125" s="94">
        <v>31101</v>
      </c>
      <c r="E125" s="93" t="s">
        <v>157</v>
      </c>
      <c r="F125" s="99">
        <v>7500</v>
      </c>
      <c r="G125" s="99">
        <v>7500</v>
      </c>
      <c r="H125" s="99">
        <v>7500</v>
      </c>
      <c r="I125" s="99">
        <v>7500</v>
      </c>
      <c r="J125" s="99">
        <v>7500</v>
      </c>
      <c r="K125" s="99">
        <v>7500</v>
      </c>
      <c r="L125" s="99">
        <v>7500</v>
      </c>
      <c r="M125" s="99">
        <v>7500</v>
      </c>
      <c r="N125" s="99">
        <v>7500</v>
      </c>
      <c r="O125" s="99">
        <v>7500</v>
      </c>
      <c r="P125" s="99">
        <v>7500</v>
      </c>
      <c r="Q125" s="99">
        <v>7500</v>
      </c>
      <c r="R125" s="97">
        <f t="shared" si="1"/>
        <v>90000</v>
      </c>
    </row>
    <row r="126" spans="1:18" s="98" customFormat="1" ht="15" customHeight="1">
      <c r="A126" s="94">
        <v>2003</v>
      </c>
      <c r="B126" s="93" t="s">
        <v>197</v>
      </c>
      <c r="C126" s="94">
        <v>2</v>
      </c>
      <c r="D126" s="94">
        <v>31401</v>
      </c>
      <c r="E126" s="93" t="s">
        <v>158</v>
      </c>
      <c r="F126" s="99">
        <v>1626.17</v>
      </c>
      <c r="G126" s="99">
        <v>1626.17</v>
      </c>
      <c r="H126" s="99">
        <v>1626.17</v>
      </c>
      <c r="I126" s="99">
        <v>1626.17</v>
      </c>
      <c r="J126" s="99">
        <v>1626.17</v>
      </c>
      <c r="K126" s="99">
        <v>1626.17</v>
      </c>
      <c r="L126" s="99">
        <v>1626.17</v>
      </c>
      <c r="M126" s="99">
        <v>1626.17</v>
      </c>
      <c r="N126" s="99">
        <v>1626.17</v>
      </c>
      <c r="O126" s="99">
        <v>1626.17</v>
      </c>
      <c r="P126" s="99">
        <v>1626.17</v>
      </c>
      <c r="Q126" s="99">
        <v>1626.17</v>
      </c>
      <c r="R126" s="97">
        <f t="shared" si="1"/>
        <v>19514.04</v>
      </c>
    </row>
    <row r="127" spans="1:18" s="98" customFormat="1" ht="15" customHeight="1">
      <c r="A127" s="94">
        <v>2003</v>
      </c>
      <c r="B127" s="93" t="s">
        <v>197</v>
      </c>
      <c r="C127" s="94">
        <v>2</v>
      </c>
      <c r="D127" s="94">
        <v>33601</v>
      </c>
      <c r="E127" s="93" t="s">
        <v>159</v>
      </c>
      <c r="F127" s="99">
        <v>10000</v>
      </c>
      <c r="G127" s="99">
        <v>5000</v>
      </c>
      <c r="H127" s="99">
        <v>5000</v>
      </c>
      <c r="I127" s="99">
        <v>5000</v>
      </c>
      <c r="J127" s="99">
        <v>5000</v>
      </c>
      <c r="K127" s="99">
        <v>5000</v>
      </c>
      <c r="L127" s="99">
        <v>10000</v>
      </c>
      <c r="M127" s="99">
        <v>5000</v>
      </c>
      <c r="N127" s="99">
        <v>5000</v>
      </c>
      <c r="O127" s="99"/>
      <c r="P127" s="99">
        <v>5000</v>
      </c>
      <c r="Q127" s="99">
        <v>5000</v>
      </c>
      <c r="R127" s="97">
        <f t="shared" si="1"/>
        <v>65000</v>
      </c>
    </row>
    <row r="128" spans="1:18" s="98" customFormat="1" ht="15" customHeight="1">
      <c r="A128" s="94">
        <v>2003</v>
      </c>
      <c r="B128" s="93" t="s">
        <v>197</v>
      </c>
      <c r="C128" s="94">
        <v>2</v>
      </c>
      <c r="D128" s="94">
        <v>34301</v>
      </c>
      <c r="E128" s="93" t="s">
        <v>199</v>
      </c>
      <c r="F128" s="99">
        <v>175000</v>
      </c>
      <c r="G128" s="99">
        <v>175000</v>
      </c>
      <c r="H128" s="99">
        <v>175000</v>
      </c>
      <c r="I128" s="99">
        <v>175000</v>
      </c>
      <c r="J128" s="99">
        <v>175000</v>
      </c>
      <c r="K128" s="99">
        <v>175000</v>
      </c>
      <c r="L128" s="99">
        <v>175000</v>
      </c>
      <c r="M128" s="99">
        <v>175000</v>
      </c>
      <c r="N128" s="99">
        <v>175000</v>
      </c>
      <c r="O128" s="99">
        <v>175000</v>
      </c>
      <c r="P128" s="99">
        <v>175000</v>
      </c>
      <c r="Q128" s="99">
        <v>175000</v>
      </c>
      <c r="R128" s="97">
        <f t="shared" si="1"/>
        <v>2100000</v>
      </c>
    </row>
    <row r="129" spans="1:18" s="98" customFormat="1" ht="15" customHeight="1">
      <c r="A129" s="94">
        <v>2003</v>
      </c>
      <c r="B129" s="93" t="s">
        <v>197</v>
      </c>
      <c r="C129" s="94">
        <v>2</v>
      </c>
      <c r="D129" s="94">
        <v>37201</v>
      </c>
      <c r="E129" s="93" t="s">
        <v>164</v>
      </c>
      <c r="F129" s="99">
        <v>1000</v>
      </c>
      <c r="G129" s="99">
        <v>500</v>
      </c>
      <c r="H129" s="99"/>
      <c r="I129" s="99">
        <v>500</v>
      </c>
      <c r="J129" s="99">
        <v>500</v>
      </c>
      <c r="K129" s="99"/>
      <c r="L129" s="99">
        <v>1000</v>
      </c>
      <c r="M129" s="99">
        <v>500</v>
      </c>
      <c r="N129" s="99"/>
      <c r="O129" s="99">
        <v>500</v>
      </c>
      <c r="P129" s="99"/>
      <c r="Q129" s="99">
        <v>500</v>
      </c>
      <c r="R129" s="97">
        <f t="shared" si="1"/>
        <v>5000</v>
      </c>
    </row>
    <row r="130" spans="1:18" s="98" customFormat="1" ht="15" customHeight="1">
      <c r="A130" s="94">
        <v>2003</v>
      </c>
      <c r="B130" s="93" t="s">
        <v>197</v>
      </c>
      <c r="C130" s="94">
        <v>2</v>
      </c>
      <c r="D130" s="92">
        <v>39801</v>
      </c>
      <c r="E130" s="95" t="s">
        <v>176</v>
      </c>
      <c r="F130" s="96">
        <v>1573.05</v>
      </c>
      <c r="G130" s="96">
        <v>1573.05</v>
      </c>
      <c r="H130" s="96">
        <v>1573.05</v>
      </c>
      <c r="I130" s="96">
        <v>1573.05</v>
      </c>
      <c r="J130" s="96">
        <v>1573.05</v>
      </c>
      <c r="K130" s="96">
        <v>1573.05</v>
      </c>
      <c r="L130" s="96">
        <v>1573.05</v>
      </c>
      <c r="M130" s="96">
        <v>1573.05</v>
      </c>
      <c r="N130" s="96">
        <v>1573.05</v>
      </c>
      <c r="O130" s="96">
        <v>1573.05</v>
      </c>
      <c r="P130" s="96">
        <v>1573.05</v>
      </c>
      <c r="Q130" s="96">
        <v>1573.08</v>
      </c>
      <c r="R130" s="97">
        <f t="shared" si="1"/>
        <v>18876.629999999997</v>
      </c>
    </row>
    <row r="131" spans="1:18" s="98" customFormat="1" ht="15" customHeight="1">
      <c r="A131" s="94">
        <v>2003</v>
      </c>
      <c r="B131" s="93" t="s">
        <v>197</v>
      </c>
      <c r="C131" s="94">
        <v>2</v>
      </c>
      <c r="D131" s="92">
        <v>39802</v>
      </c>
      <c r="E131" s="95" t="s">
        <v>177</v>
      </c>
      <c r="F131" s="96">
        <v>1573.05</v>
      </c>
      <c r="G131" s="96">
        <v>1573.05</v>
      </c>
      <c r="H131" s="96">
        <v>1573.05</v>
      </c>
      <c r="I131" s="96">
        <v>1573.05</v>
      </c>
      <c r="J131" s="96">
        <v>1573.05</v>
      </c>
      <c r="K131" s="96">
        <v>1573.05</v>
      </c>
      <c r="L131" s="96">
        <v>1573.05</v>
      </c>
      <c r="M131" s="96">
        <v>1573.05</v>
      </c>
      <c r="N131" s="96">
        <v>1573.05</v>
      </c>
      <c r="O131" s="96">
        <v>1573.05</v>
      </c>
      <c r="P131" s="96">
        <v>1573.05</v>
      </c>
      <c r="Q131" s="96">
        <v>1573.08</v>
      </c>
      <c r="R131" s="97">
        <f t="shared" si="1"/>
        <v>18876.629999999997</v>
      </c>
    </row>
    <row r="132" spans="1:18" s="98" customFormat="1" ht="15" customHeight="1">
      <c r="A132" s="94">
        <v>2003</v>
      </c>
      <c r="B132" s="93" t="s">
        <v>197</v>
      </c>
      <c r="C132" s="94">
        <v>2</v>
      </c>
      <c r="D132" s="92">
        <v>39803</v>
      </c>
      <c r="E132" s="95" t="s">
        <v>178</v>
      </c>
      <c r="F132" s="96">
        <v>10487.01</v>
      </c>
      <c r="G132" s="96">
        <v>10487.01</v>
      </c>
      <c r="H132" s="96">
        <v>10487.01</v>
      </c>
      <c r="I132" s="96">
        <v>10487.01</v>
      </c>
      <c r="J132" s="96">
        <v>10487.01</v>
      </c>
      <c r="K132" s="96">
        <v>10487.01</v>
      </c>
      <c r="L132" s="96">
        <v>10487.01</v>
      </c>
      <c r="M132" s="96">
        <v>10487.01</v>
      </c>
      <c r="N132" s="96">
        <v>10487.01</v>
      </c>
      <c r="O132" s="96">
        <v>10487.01</v>
      </c>
      <c r="P132" s="96">
        <v>10487.01</v>
      </c>
      <c r="Q132" s="96">
        <v>10487.1</v>
      </c>
      <c r="R132" s="97">
        <f t="shared" si="1"/>
        <v>125844.20999999999</v>
      </c>
    </row>
    <row r="133" spans="1:18" s="98" customFormat="1" ht="15" customHeight="1">
      <c r="A133" s="94">
        <v>2003</v>
      </c>
      <c r="B133" s="93" t="s">
        <v>197</v>
      </c>
      <c r="C133" s="94">
        <v>2</v>
      </c>
      <c r="D133" s="92">
        <v>39804</v>
      </c>
      <c r="E133" s="95" t="s">
        <v>179</v>
      </c>
      <c r="F133" s="96">
        <v>1573.05</v>
      </c>
      <c r="G133" s="96">
        <v>1573.05</v>
      </c>
      <c r="H133" s="96">
        <v>1573.05</v>
      </c>
      <c r="I133" s="96">
        <v>1573.05</v>
      </c>
      <c r="J133" s="96">
        <v>1573.05</v>
      </c>
      <c r="K133" s="96">
        <v>1573.05</v>
      </c>
      <c r="L133" s="96">
        <v>1573.05</v>
      </c>
      <c r="M133" s="96">
        <v>1573.05</v>
      </c>
      <c r="N133" s="96">
        <v>1573.05</v>
      </c>
      <c r="O133" s="96">
        <v>1573.05</v>
      </c>
      <c r="P133" s="96">
        <v>1573.05</v>
      </c>
      <c r="Q133" s="96">
        <v>1573.08</v>
      </c>
      <c r="R133" s="97">
        <f t="shared" si="1"/>
        <v>18876.629999999997</v>
      </c>
    </row>
    <row r="134" spans="1:18" s="98" customFormat="1" ht="15" customHeight="1">
      <c r="A134" s="94">
        <v>2003</v>
      </c>
      <c r="B134" s="93" t="s">
        <v>197</v>
      </c>
      <c r="C134" s="94">
        <v>2</v>
      </c>
      <c r="D134" s="92">
        <v>51501</v>
      </c>
      <c r="E134" s="95" t="s">
        <v>200</v>
      </c>
      <c r="F134" s="96">
        <v>10000</v>
      </c>
      <c r="G134" s="96"/>
      <c r="H134" s="96"/>
      <c r="I134" s="99"/>
      <c r="J134" s="99"/>
      <c r="K134" s="99"/>
      <c r="L134" s="99">
        <v>10000</v>
      </c>
      <c r="M134" s="99"/>
      <c r="N134" s="99"/>
      <c r="O134" s="99"/>
      <c r="P134" s="99"/>
      <c r="Q134" s="99"/>
      <c r="R134" s="97">
        <f t="shared" si="1"/>
        <v>20000</v>
      </c>
    </row>
    <row r="135" spans="1:18" s="98" customFormat="1" ht="15" customHeight="1">
      <c r="A135" s="92">
        <v>2004</v>
      </c>
      <c r="B135" s="93" t="s">
        <v>201</v>
      </c>
      <c r="C135" s="94">
        <v>2</v>
      </c>
      <c r="D135" s="92">
        <v>11301</v>
      </c>
      <c r="E135" s="95" t="s">
        <v>128</v>
      </c>
      <c r="F135" s="96">
        <v>40567.230000000003</v>
      </c>
      <c r="G135" s="96">
        <v>40567.230000000003</v>
      </c>
      <c r="H135" s="96">
        <v>40567.230000000003</v>
      </c>
      <c r="I135" s="96">
        <v>40567.230000000003</v>
      </c>
      <c r="J135" s="96">
        <v>40567.230000000003</v>
      </c>
      <c r="K135" s="96">
        <v>40567.230000000003</v>
      </c>
      <c r="L135" s="96">
        <v>40567.230000000003</v>
      </c>
      <c r="M135" s="96">
        <v>40567.230000000003</v>
      </c>
      <c r="N135" s="96">
        <v>40567.230000000003</v>
      </c>
      <c r="O135" s="96">
        <v>40567.230000000003</v>
      </c>
      <c r="P135" s="96">
        <v>40567.230000000003</v>
      </c>
      <c r="Q135" s="96">
        <v>40567.230000000003</v>
      </c>
      <c r="R135" s="97">
        <f t="shared" si="1"/>
        <v>486806.75999999995</v>
      </c>
    </row>
    <row r="136" spans="1:18" s="98" customFormat="1" ht="15" customHeight="1">
      <c r="A136" s="92">
        <v>2004</v>
      </c>
      <c r="B136" s="93" t="s">
        <v>201</v>
      </c>
      <c r="C136" s="94">
        <v>2</v>
      </c>
      <c r="D136" s="92">
        <v>11302</v>
      </c>
      <c r="E136" s="95" t="s">
        <v>129</v>
      </c>
      <c r="F136" s="96">
        <v>40567.230000000003</v>
      </c>
      <c r="G136" s="96">
        <v>40567.230000000003</v>
      </c>
      <c r="H136" s="96">
        <v>40567.230000000003</v>
      </c>
      <c r="I136" s="96">
        <v>40567.230000000003</v>
      </c>
      <c r="J136" s="96">
        <v>40567.230000000003</v>
      </c>
      <c r="K136" s="96">
        <v>40567.230000000003</v>
      </c>
      <c r="L136" s="96">
        <v>40567.230000000003</v>
      </c>
      <c r="M136" s="96">
        <v>40567.230000000003</v>
      </c>
      <c r="N136" s="96">
        <v>40567.230000000003</v>
      </c>
      <c r="O136" s="96">
        <v>40567.230000000003</v>
      </c>
      <c r="P136" s="96">
        <v>40567.230000000003</v>
      </c>
      <c r="Q136" s="96">
        <v>40567.230000000003</v>
      </c>
      <c r="R136" s="97">
        <f t="shared" si="1"/>
        <v>486806.75999999995</v>
      </c>
    </row>
    <row r="137" spans="1:18" s="98" customFormat="1" ht="15" customHeight="1">
      <c r="A137" s="92">
        <v>2004</v>
      </c>
      <c r="B137" s="93" t="s">
        <v>201</v>
      </c>
      <c r="C137" s="94">
        <v>2</v>
      </c>
      <c r="D137" s="92">
        <v>11304</v>
      </c>
      <c r="E137" s="95" t="s">
        <v>131</v>
      </c>
      <c r="F137" s="96">
        <v>54451.609999999993</v>
      </c>
      <c r="G137" s="96">
        <v>54451.609999999993</v>
      </c>
      <c r="H137" s="96">
        <v>54451.609999999993</v>
      </c>
      <c r="I137" s="96">
        <v>54451.609999999993</v>
      </c>
      <c r="J137" s="96">
        <v>54451.609999999993</v>
      </c>
      <c r="K137" s="96">
        <v>54451.609999999993</v>
      </c>
      <c r="L137" s="96">
        <v>54451.609999999993</v>
      </c>
      <c r="M137" s="96">
        <v>54451.609999999993</v>
      </c>
      <c r="N137" s="96">
        <v>54451.609999999993</v>
      </c>
      <c r="O137" s="96">
        <v>54451.609999999993</v>
      </c>
      <c r="P137" s="96">
        <v>54451.609999999993</v>
      </c>
      <c r="Q137" s="96">
        <v>54451.609999999993</v>
      </c>
      <c r="R137" s="97">
        <f t="shared" ref="R137:R200" si="2">SUM(F137:Q137)</f>
        <v>653419.31999999995</v>
      </c>
    </row>
    <row r="138" spans="1:18" s="98" customFormat="1" ht="15" customHeight="1">
      <c r="A138" s="92">
        <v>2004</v>
      </c>
      <c r="B138" s="93" t="s">
        <v>201</v>
      </c>
      <c r="C138" s="94">
        <v>2</v>
      </c>
      <c r="D138" s="92">
        <v>13101</v>
      </c>
      <c r="E138" s="95" t="s">
        <v>132</v>
      </c>
      <c r="F138" s="96">
        <v>741.5</v>
      </c>
      <c r="G138" s="96">
        <v>741.5</v>
      </c>
      <c r="H138" s="96">
        <v>741.5</v>
      </c>
      <c r="I138" s="96">
        <v>741.5</v>
      </c>
      <c r="J138" s="96">
        <v>741.5</v>
      </c>
      <c r="K138" s="96">
        <v>741.5</v>
      </c>
      <c r="L138" s="96">
        <v>741.5</v>
      </c>
      <c r="M138" s="96">
        <v>741.5</v>
      </c>
      <c r="N138" s="96">
        <v>741.5</v>
      </c>
      <c r="O138" s="96">
        <v>741.5</v>
      </c>
      <c r="P138" s="96">
        <v>741.5</v>
      </c>
      <c r="Q138" s="96">
        <v>741.5</v>
      </c>
      <c r="R138" s="97">
        <f t="shared" si="2"/>
        <v>8898</v>
      </c>
    </row>
    <row r="139" spans="1:18" s="98" customFormat="1" ht="15" customHeight="1">
      <c r="A139" s="92">
        <v>2004</v>
      </c>
      <c r="B139" s="93" t="s">
        <v>201</v>
      </c>
      <c r="C139" s="94">
        <v>2</v>
      </c>
      <c r="D139" s="92">
        <v>13201</v>
      </c>
      <c r="E139" s="95" t="s">
        <v>133</v>
      </c>
      <c r="F139" s="96">
        <v>2448.08</v>
      </c>
      <c r="G139" s="96">
        <v>2448.08</v>
      </c>
      <c r="H139" s="96">
        <v>2448.08</v>
      </c>
      <c r="I139" s="96">
        <v>2448.08</v>
      </c>
      <c r="J139" s="96">
        <v>2448.08</v>
      </c>
      <c r="K139" s="96">
        <v>2448.08</v>
      </c>
      <c r="L139" s="96">
        <v>2448.08</v>
      </c>
      <c r="M139" s="96">
        <v>2448.08</v>
      </c>
      <c r="N139" s="96">
        <v>2448.08</v>
      </c>
      <c r="O139" s="96">
        <v>2448.08</v>
      </c>
      <c r="P139" s="96">
        <v>2448.08</v>
      </c>
      <c r="Q139" s="96">
        <v>2448.1</v>
      </c>
      <c r="R139" s="97">
        <f t="shared" si="2"/>
        <v>29376.980000000003</v>
      </c>
    </row>
    <row r="140" spans="1:18" s="98" customFormat="1" ht="15" customHeight="1">
      <c r="A140" s="92">
        <v>2004</v>
      </c>
      <c r="B140" s="93" t="s">
        <v>201</v>
      </c>
      <c r="C140" s="94">
        <v>2</v>
      </c>
      <c r="D140" s="92">
        <v>13203</v>
      </c>
      <c r="E140" s="95" t="s">
        <v>134</v>
      </c>
      <c r="F140" s="96">
        <v>29729.47</v>
      </c>
      <c r="G140" s="96">
        <v>29729.47</v>
      </c>
      <c r="H140" s="96">
        <v>29729.47</v>
      </c>
      <c r="I140" s="96">
        <v>29729.47</v>
      </c>
      <c r="J140" s="96">
        <v>29729.47</v>
      </c>
      <c r="K140" s="96">
        <v>29729.47</v>
      </c>
      <c r="L140" s="96">
        <v>29729.47</v>
      </c>
      <c r="M140" s="96">
        <v>29729.47</v>
      </c>
      <c r="N140" s="96">
        <v>29729.47</v>
      </c>
      <c r="O140" s="96">
        <v>29729.47</v>
      </c>
      <c r="P140" s="96">
        <v>29729.47</v>
      </c>
      <c r="Q140" s="96">
        <v>29729.58</v>
      </c>
      <c r="R140" s="97">
        <f t="shared" si="2"/>
        <v>356753.74999999994</v>
      </c>
    </row>
    <row r="141" spans="1:18" s="98" customFormat="1" ht="15" customHeight="1">
      <c r="A141" s="92">
        <v>2004</v>
      </c>
      <c r="B141" s="93" t="s">
        <v>201</v>
      </c>
      <c r="C141" s="94">
        <v>2</v>
      </c>
      <c r="D141" s="92">
        <v>13401</v>
      </c>
      <c r="E141" s="95" t="s">
        <v>135</v>
      </c>
      <c r="F141" s="96">
        <v>9195.64</v>
      </c>
      <c r="G141" s="96">
        <v>9195.64</v>
      </c>
      <c r="H141" s="96">
        <v>9195.64</v>
      </c>
      <c r="I141" s="96">
        <v>9195.64</v>
      </c>
      <c r="J141" s="96">
        <v>9195.64</v>
      </c>
      <c r="K141" s="96">
        <v>9195.64</v>
      </c>
      <c r="L141" s="96">
        <v>9195.64</v>
      </c>
      <c r="M141" s="96">
        <v>9195.64</v>
      </c>
      <c r="N141" s="96">
        <v>9195.64</v>
      </c>
      <c r="O141" s="96">
        <v>9195.64</v>
      </c>
      <c r="P141" s="96">
        <v>9195.64</v>
      </c>
      <c r="Q141" s="96">
        <v>9195.64</v>
      </c>
      <c r="R141" s="97">
        <f t="shared" si="2"/>
        <v>110347.68</v>
      </c>
    </row>
    <row r="142" spans="1:18" s="98" customFormat="1" ht="15" customHeight="1">
      <c r="A142" s="92">
        <v>2004</v>
      </c>
      <c r="B142" s="93" t="s">
        <v>201</v>
      </c>
      <c r="C142" s="94">
        <v>2</v>
      </c>
      <c r="D142" s="92">
        <v>14101</v>
      </c>
      <c r="E142" s="95" t="s">
        <v>136</v>
      </c>
      <c r="F142" s="96">
        <v>3416.6</v>
      </c>
      <c r="G142" s="96">
        <v>3416.6</v>
      </c>
      <c r="H142" s="96">
        <v>3416.6</v>
      </c>
      <c r="I142" s="96">
        <v>3416.6</v>
      </c>
      <c r="J142" s="96">
        <v>3416.6</v>
      </c>
      <c r="K142" s="96">
        <v>3416.6</v>
      </c>
      <c r="L142" s="96">
        <v>3416.6</v>
      </c>
      <c r="M142" s="96">
        <v>3416.6</v>
      </c>
      <c r="N142" s="96">
        <v>3416.6</v>
      </c>
      <c r="O142" s="96">
        <v>3416.6</v>
      </c>
      <c r="P142" s="96">
        <v>3416.6</v>
      </c>
      <c r="Q142" s="96">
        <v>3416.66</v>
      </c>
      <c r="R142" s="97">
        <f t="shared" si="2"/>
        <v>40999.259999999995</v>
      </c>
    </row>
    <row r="143" spans="1:18" s="98" customFormat="1" ht="15" customHeight="1">
      <c r="A143" s="92">
        <v>2004</v>
      </c>
      <c r="B143" s="93" t="s">
        <v>201</v>
      </c>
      <c r="C143" s="94">
        <v>2</v>
      </c>
      <c r="D143" s="92">
        <v>14102</v>
      </c>
      <c r="E143" s="95" t="s">
        <v>137</v>
      </c>
      <c r="F143" s="96">
        <v>13596.47</v>
      </c>
      <c r="G143" s="96">
        <v>13596.47</v>
      </c>
      <c r="H143" s="96">
        <v>13596.47</v>
      </c>
      <c r="I143" s="96">
        <v>13596.47</v>
      </c>
      <c r="J143" s="96">
        <v>13596.47</v>
      </c>
      <c r="K143" s="96">
        <v>13596.47</v>
      </c>
      <c r="L143" s="96">
        <v>13596.47</v>
      </c>
      <c r="M143" s="96">
        <v>13596.47</v>
      </c>
      <c r="N143" s="96">
        <v>13596.47</v>
      </c>
      <c r="O143" s="96">
        <v>13596.47</v>
      </c>
      <c r="P143" s="96">
        <v>13596.47</v>
      </c>
      <c r="Q143" s="96">
        <v>13596.55</v>
      </c>
      <c r="R143" s="97">
        <f t="shared" si="2"/>
        <v>163157.71999999997</v>
      </c>
    </row>
    <row r="144" spans="1:18" s="98" customFormat="1" ht="15" customHeight="1">
      <c r="A144" s="92">
        <v>2004</v>
      </c>
      <c r="B144" s="93" t="s">
        <v>201</v>
      </c>
      <c r="C144" s="94">
        <v>2</v>
      </c>
      <c r="D144" s="92">
        <v>14103</v>
      </c>
      <c r="E144" s="95" t="s">
        <v>138</v>
      </c>
      <c r="F144" s="96">
        <v>2357.06</v>
      </c>
      <c r="G144" s="96">
        <v>2357.06</v>
      </c>
      <c r="H144" s="96">
        <v>2357.06</v>
      </c>
      <c r="I144" s="96">
        <v>2357.06</v>
      </c>
      <c r="J144" s="96">
        <v>2357.06</v>
      </c>
      <c r="K144" s="96">
        <v>2357.06</v>
      </c>
      <c r="L144" s="96">
        <v>2357.06</v>
      </c>
      <c r="M144" s="96">
        <v>2357.06</v>
      </c>
      <c r="N144" s="96">
        <v>2357.06</v>
      </c>
      <c r="O144" s="96">
        <v>2357.06</v>
      </c>
      <c r="P144" s="96">
        <v>2357.06</v>
      </c>
      <c r="Q144" s="96">
        <v>2357.14</v>
      </c>
      <c r="R144" s="97">
        <f t="shared" si="2"/>
        <v>28284.800000000003</v>
      </c>
    </row>
    <row r="145" spans="1:18" s="98" customFormat="1" ht="15" customHeight="1">
      <c r="A145" s="92">
        <v>2004</v>
      </c>
      <c r="B145" s="93" t="s">
        <v>201</v>
      </c>
      <c r="C145" s="94">
        <v>2</v>
      </c>
      <c r="D145" s="92">
        <v>15201</v>
      </c>
      <c r="E145" s="95" t="s">
        <v>139</v>
      </c>
      <c r="F145" s="96">
        <v>732.16</v>
      </c>
      <c r="G145" s="96">
        <v>732.16</v>
      </c>
      <c r="H145" s="96">
        <v>732.16</v>
      </c>
      <c r="I145" s="96">
        <v>732.16</v>
      </c>
      <c r="J145" s="96">
        <v>732.16</v>
      </c>
      <c r="K145" s="96">
        <v>732.16</v>
      </c>
      <c r="L145" s="96">
        <v>732.16</v>
      </c>
      <c r="M145" s="96">
        <v>732.16</v>
      </c>
      <c r="N145" s="96">
        <v>732.16</v>
      </c>
      <c r="O145" s="96">
        <v>732.16</v>
      </c>
      <c r="P145" s="96">
        <v>732.16</v>
      </c>
      <c r="Q145" s="96">
        <v>732.16</v>
      </c>
      <c r="R145" s="97">
        <f t="shared" si="2"/>
        <v>8785.92</v>
      </c>
    </row>
    <row r="146" spans="1:18" s="98" customFormat="1" ht="15" customHeight="1">
      <c r="A146" s="92">
        <v>2004</v>
      </c>
      <c r="B146" s="93" t="s">
        <v>201</v>
      </c>
      <c r="C146" s="94">
        <v>2</v>
      </c>
      <c r="D146" s="92">
        <v>15401</v>
      </c>
      <c r="E146" s="95" t="s">
        <v>140</v>
      </c>
      <c r="F146" s="96">
        <v>2016.72</v>
      </c>
      <c r="G146" s="96">
        <v>2016.72</v>
      </c>
      <c r="H146" s="96">
        <v>2016.72</v>
      </c>
      <c r="I146" s="96">
        <v>2016.72</v>
      </c>
      <c r="J146" s="96">
        <v>2016.72</v>
      </c>
      <c r="K146" s="96">
        <v>2016.72</v>
      </c>
      <c r="L146" s="96">
        <v>2016.72</v>
      </c>
      <c r="M146" s="96">
        <v>2016.72</v>
      </c>
      <c r="N146" s="96">
        <v>2016.72</v>
      </c>
      <c r="O146" s="96">
        <v>2016.72</v>
      </c>
      <c r="P146" s="96">
        <v>2016.72</v>
      </c>
      <c r="Q146" s="96">
        <v>2016.76</v>
      </c>
      <c r="R146" s="97">
        <f t="shared" si="2"/>
        <v>24200.68</v>
      </c>
    </row>
    <row r="147" spans="1:18" s="98" customFormat="1" ht="15" customHeight="1">
      <c r="A147" s="92">
        <v>2004</v>
      </c>
      <c r="B147" s="93" t="s">
        <v>201</v>
      </c>
      <c r="C147" s="94">
        <v>2</v>
      </c>
      <c r="D147" s="92">
        <v>15404</v>
      </c>
      <c r="E147" s="95" t="s">
        <v>142</v>
      </c>
      <c r="F147" s="96">
        <v>5524.16</v>
      </c>
      <c r="G147" s="96">
        <v>5524.16</v>
      </c>
      <c r="H147" s="96">
        <v>5524.16</v>
      </c>
      <c r="I147" s="96">
        <v>5524.16</v>
      </c>
      <c r="J147" s="96">
        <v>5524.16</v>
      </c>
      <c r="K147" s="96">
        <v>5524.16</v>
      </c>
      <c r="L147" s="96">
        <v>5524.16</v>
      </c>
      <c r="M147" s="96">
        <v>5524.16</v>
      </c>
      <c r="N147" s="96">
        <v>5524.16</v>
      </c>
      <c r="O147" s="96">
        <v>5524.16</v>
      </c>
      <c r="P147" s="96">
        <v>5524.16</v>
      </c>
      <c r="Q147" s="96">
        <v>5524.24</v>
      </c>
      <c r="R147" s="97">
        <f t="shared" si="2"/>
        <v>66290.000000000015</v>
      </c>
    </row>
    <row r="148" spans="1:18" s="98" customFormat="1" ht="15" customHeight="1">
      <c r="A148" s="92">
        <v>2004</v>
      </c>
      <c r="B148" s="93" t="s">
        <v>201</v>
      </c>
      <c r="C148" s="94">
        <v>2</v>
      </c>
      <c r="D148" s="92">
        <v>15405</v>
      </c>
      <c r="E148" s="95" t="s">
        <v>143</v>
      </c>
      <c r="F148" s="96">
        <v>1236.24</v>
      </c>
      <c r="G148" s="96">
        <v>1236.24</v>
      </c>
      <c r="H148" s="96">
        <v>1236.24</v>
      </c>
      <c r="I148" s="96">
        <v>1236.24</v>
      </c>
      <c r="J148" s="96">
        <v>1236.24</v>
      </c>
      <c r="K148" s="96">
        <v>1236.24</v>
      </c>
      <c r="L148" s="96">
        <v>1236.24</v>
      </c>
      <c r="M148" s="96">
        <v>1236.24</v>
      </c>
      <c r="N148" s="96">
        <v>1236.24</v>
      </c>
      <c r="O148" s="96">
        <v>1236.24</v>
      </c>
      <c r="P148" s="96">
        <v>1236.24</v>
      </c>
      <c r="Q148" s="96">
        <v>1236.24</v>
      </c>
      <c r="R148" s="97">
        <f t="shared" si="2"/>
        <v>14834.88</v>
      </c>
    </row>
    <row r="149" spans="1:18" s="98" customFormat="1" ht="15" customHeight="1">
      <c r="A149" s="92">
        <v>2004</v>
      </c>
      <c r="B149" s="93" t="s">
        <v>201</v>
      </c>
      <c r="C149" s="94">
        <v>2</v>
      </c>
      <c r="D149" s="92">
        <v>15406</v>
      </c>
      <c r="E149" s="95" t="s">
        <v>202</v>
      </c>
      <c r="F149" s="96">
        <v>600</v>
      </c>
      <c r="G149" s="96">
        <v>600</v>
      </c>
      <c r="H149" s="96">
        <v>600</v>
      </c>
      <c r="I149" s="96">
        <v>600</v>
      </c>
      <c r="J149" s="96">
        <v>600</v>
      </c>
      <c r="K149" s="96">
        <v>600</v>
      </c>
      <c r="L149" s="96">
        <v>600</v>
      </c>
      <c r="M149" s="96">
        <v>600</v>
      </c>
      <c r="N149" s="96">
        <v>600</v>
      </c>
      <c r="O149" s="96">
        <v>600</v>
      </c>
      <c r="P149" s="96">
        <v>600</v>
      </c>
      <c r="Q149" s="96">
        <v>600</v>
      </c>
      <c r="R149" s="97">
        <f t="shared" si="2"/>
        <v>7200</v>
      </c>
    </row>
    <row r="150" spans="1:18" s="98" customFormat="1" ht="15" customHeight="1">
      <c r="A150" s="92">
        <v>2004</v>
      </c>
      <c r="B150" s="93" t="s">
        <v>201</v>
      </c>
      <c r="C150" s="94">
        <v>2</v>
      </c>
      <c r="D150" s="92">
        <v>15407</v>
      </c>
      <c r="E150" s="95" t="s">
        <v>144</v>
      </c>
      <c r="F150" s="99">
        <v>949.2</v>
      </c>
      <c r="G150" s="99">
        <v>949.19999999999993</v>
      </c>
      <c r="H150" s="99">
        <v>949.19999999999993</v>
      </c>
      <c r="I150" s="99">
        <v>949.19999999999993</v>
      </c>
      <c r="J150" s="99">
        <v>949.19999999999993</v>
      </c>
      <c r="K150" s="99">
        <v>949.19999999999993</v>
      </c>
      <c r="L150" s="99">
        <v>949.19999999999993</v>
      </c>
      <c r="M150" s="99">
        <v>949.19999999999993</v>
      </c>
      <c r="N150" s="99">
        <v>949.19999999999993</v>
      </c>
      <c r="O150" s="99">
        <v>949.19999999999993</v>
      </c>
      <c r="P150" s="99">
        <v>949.19999999999993</v>
      </c>
      <c r="Q150" s="99">
        <v>949.19999999999993</v>
      </c>
      <c r="R150" s="97">
        <f t="shared" si="2"/>
        <v>11390.400000000001</v>
      </c>
    </row>
    <row r="151" spans="1:18" s="98" customFormat="1" ht="15" customHeight="1">
      <c r="A151" s="92">
        <v>2004</v>
      </c>
      <c r="B151" s="93" t="s">
        <v>201</v>
      </c>
      <c r="C151" s="94">
        <v>2</v>
      </c>
      <c r="D151" s="92">
        <v>15902</v>
      </c>
      <c r="E151" s="95" t="s">
        <v>145</v>
      </c>
      <c r="F151" s="96">
        <v>0</v>
      </c>
      <c r="G151" s="96">
        <v>0</v>
      </c>
      <c r="H151" s="96">
        <v>0</v>
      </c>
      <c r="I151" s="96">
        <v>0</v>
      </c>
      <c r="J151" s="96">
        <v>0</v>
      </c>
      <c r="K151" s="96">
        <v>0</v>
      </c>
      <c r="L151" s="96">
        <v>0</v>
      </c>
      <c r="M151" s="96">
        <v>900</v>
      </c>
      <c r="N151" s="96">
        <v>0</v>
      </c>
      <c r="O151" s="96">
        <v>0</v>
      </c>
      <c r="P151" s="96">
        <v>0</v>
      </c>
      <c r="Q151" s="96">
        <v>0</v>
      </c>
      <c r="R151" s="97">
        <f t="shared" si="2"/>
        <v>900</v>
      </c>
    </row>
    <row r="152" spans="1:18" s="98" customFormat="1" ht="15" customHeight="1">
      <c r="A152" s="92">
        <v>2004</v>
      </c>
      <c r="B152" s="93" t="s">
        <v>201</v>
      </c>
      <c r="C152" s="94">
        <v>2</v>
      </c>
      <c r="D152" s="92">
        <v>15903</v>
      </c>
      <c r="E152" s="95" t="s">
        <v>146</v>
      </c>
      <c r="F152" s="96">
        <v>0</v>
      </c>
      <c r="G152" s="96">
        <v>0</v>
      </c>
      <c r="H152" s="96">
        <v>0</v>
      </c>
      <c r="I152" s="96">
        <v>0</v>
      </c>
      <c r="J152" s="96">
        <v>0</v>
      </c>
      <c r="K152" s="96">
        <v>0</v>
      </c>
      <c r="L152" s="96">
        <v>0</v>
      </c>
      <c r="M152" s="96">
        <v>19200</v>
      </c>
      <c r="N152" s="96"/>
      <c r="O152" s="96"/>
      <c r="P152" s="96">
        <v>0</v>
      </c>
      <c r="Q152" s="96">
        <v>0</v>
      </c>
      <c r="R152" s="97">
        <f t="shared" si="2"/>
        <v>19200</v>
      </c>
    </row>
    <row r="153" spans="1:18" s="98" customFormat="1" ht="15" customHeight="1">
      <c r="A153" s="92">
        <v>2004</v>
      </c>
      <c r="B153" s="93" t="s">
        <v>201</v>
      </c>
      <c r="C153" s="94">
        <v>2</v>
      </c>
      <c r="D153" s="92">
        <v>15904</v>
      </c>
      <c r="E153" s="95" t="s">
        <v>147</v>
      </c>
      <c r="F153" s="96">
        <v>0</v>
      </c>
      <c r="G153" s="96">
        <v>0</v>
      </c>
      <c r="H153" s="96">
        <v>0</v>
      </c>
      <c r="I153" s="96">
        <v>0</v>
      </c>
      <c r="J153" s="96">
        <v>25200</v>
      </c>
      <c r="K153" s="96">
        <v>0</v>
      </c>
      <c r="L153" s="96">
        <v>0</v>
      </c>
      <c r="M153" s="96">
        <v>0</v>
      </c>
      <c r="N153" s="96">
        <v>0</v>
      </c>
      <c r="O153" s="96">
        <v>0</v>
      </c>
      <c r="P153" s="96">
        <v>0</v>
      </c>
      <c r="Q153" s="96">
        <v>0</v>
      </c>
      <c r="R153" s="97">
        <f t="shared" si="2"/>
        <v>25200</v>
      </c>
    </row>
    <row r="154" spans="1:18" s="98" customFormat="1" ht="15" customHeight="1">
      <c r="A154" s="92">
        <v>2004</v>
      </c>
      <c r="B154" s="93" t="s">
        <v>201</v>
      </c>
      <c r="C154" s="94">
        <v>2</v>
      </c>
      <c r="D154" s="92">
        <v>15905</v>
      </c>
      <c r="E154" s="95" t="s">
        <v>148</v>
      </c>
      <c r="F154" s="96">
        <v>0</v>
      </c>
      <c r="G154" s="96">
        <v>0</v>
      </c>
      <c r="H154" s="96">
        <v>0</v>
      </c>
      <c r="I154" s="96">
        <v>0</v>
      </c>
      <c r="J154" s="96">
        <v>0</v>
      </c>
      <c r="K154" s="96">
        <v>1200</v>
      </c>
      <c r="L154" s="96">
        <v>0</v>
      </c>
      <c r="M154" s="96">
        <v>0</v>
      </c>
      <c r="N154" s="96">
        <v>0</v>
      </c>
      <c r="O154" s="96">
        <v>0</v>
      </c>
      <c r="P154" s="96">
        <v>0</v>
      </c>
      <c r="Q154" s="96">
        <v>0</v>
      </c>
      <c r="R154" s="97">
        <f t="shared" si="2"/>
        <v>1200</v>
      </c>
    </row>
    <row r="155" spans="1:18" s="98" customFormat="1" ht="15" customHeight="1">
      <c r="A155" s="94">
        <v>2004</v>
      </c>
      <c r="B155" s="93" t="s">
        <v>201</v>
      </c>
      <c r="C155" s="94">
        <v>2</v>
      </c>
      <c r="D155" s="94">
        <v>21101</v>
      </c>
      <c r="E155" s="93" t="s">
        <v>150</v>
      </c>
      <c r="F155" s="99">
        <v>2000</v>
      </c>
      <c r="G155" s="99">
        <v>1000</v>
      </c>
      <c r="H155" s="99">
        <v>1000</v>
      </c>
      <c r="I155" s="99">
        <v>1000</v>
      </c>
      <c r="J155" s="99">
        <v>1000</v>
      </c>
      <c r="K155" s="99">
        <v>1000</v>
      </c>
      <c r="L155" s="99">
        <v>2000</v>
      </c>
      <c r="M155" s="99">
        <v>1000</v>
      </c>
      <c r="N155" s="99">
        <v>1000</v>
      </c>
      <c r="O155" s="99">
        <v>1000</v>
      </c>
      <c r="P155" s="99">
        <v>1000</v>
      </c>
      <c r="Q155" s="99">
        <v>2000</v>
      </c>
      <c r="R155" s="97">
        <f t="shared" si="2"/>
        <v>15000</v>
      </c>
    </row>
    <row r="156" spans="1:18" s="98" customFormat="1" ht="15" customHeight="1">
      <c r="A156" s="94">
        <v>2004</v>
      </c>
      <c r="B156" s="93" t="s">
        <v>201</v>
      </c>
      <c r="C156" s="94">
        <v>2</v>
      </c>
      <c r="D156" s="94">
        <v>21401</v>
      </c>
      <c r="E156" s="93" t="s">
        <v>151</v>
      </c>
      <c r="F156" s="99">
        <v>1000</v>
      </c>
      <c r="G156" s="99">
        <v>1000</v>
      </c>
      <c r="H156" s="99">
        <v>2000</v>
      </c>
      <c r="I156" s="99">
        <v>1000</v>
      </c>
      <c r="J156" s="99">
        <v>1000</v>
      </c>
      <c r="K156" s="99">
        <v>1000</v>
      </c>
      <c r="L156" s="99">
        <v>1000</v>
      </c>
      <c r="M156" s="99">
        <v>2000</v>
      </c>
      <c r="N156" s="99">
        <v>1000</v>
      </c>
      <c r="O156" s="99">
        <v>1000</v>
      </c>
      <c r="P156" s="99">
        <v>1000</v>
      </c>
      <c r="Q156" s="99">
        <v>2000</v>
      </c>
      <c r="R156" s="97">
        <f t="shared" si="2"/>
        <v>15000</v>
      </c>
    </row>
    <row r="157" spans="1:18" s="98" customFormat="1" ht="15" customHeight="1">
      <c r="A157" s="94">
        <v>2004</v>
      </c>
      <c r="B157" s="93" t="s">
        <v>201</v>
      </c>
      <c r="C157" s="94">
        <v>2</v>
      </c>
      <c r="D157" s="94">
        <v>29401</v>
      </c>
      <c r="E157" s="93" t="s">
        <v>155</v>
      </c>
      <c r="F157" s="99"/>
      <c r="G157" s="99">
        <v>200</v>
      </c>
      <c r="H157" s="99"/>
      <c r="I157" s="99">
        <v>200</v>
      </c>
      <c r="J157" s="99"/>
      <c r="K157" s="99"/>
      <c r="L157" s="99"/>
      <c r="M157" s="99">
        <v>200</v>
      </c>
      <c r="N157" s="99"/>
      <c r="O157" s="99"/>
      <c r="P157" s="99"/>
      <c r="Q157" s="99"/>
      <c r="R157" s="97">
        <f t="shared" si="2"/>
        <v>600</v>
      </c>
    </row>
    <row r="158" spans="1:18" s="98" customFormat="1" ht="15" customHeight="1">
      <c r="A158" s="94">
        <v>2004</v>
      </c>
      <c r="B158" s="93" t="s">
        <v>201</v>
      </c>
      <c r="C158" s="94">
        <v>2</v>
      </c>
      <c r="D158" s="94">
        <v>31101</v>
      </c>
      <c r="E158" s="93" t="s">
        <v>157</v>
      </c>
      <c r="F158" s="99">
        <v>999</v>
      </c>
      <c r="G158" s="99">
        <v>999</v>
      </c>
      <c r="H158" s="99">
        <v>999</v>
      </c>
      <c r="I158" s="99">
        <v>999</v>
      </c>
      <c r="J158" s="99">
        <v>999</v>
      </c>
      <c r="K158" s="99">
        <v>999</v>
      </c>
      <c r="L158" s="99">
        <v>999</v>
      </c>
      <c r="M158" s="99">
        <v>999</v>
      </c>
      <c r="N158" s="99">
        <v>999</v>
      </c>
      <c r="O158" s="99">
        <v>999</v>
      </c>
      <c r="P158" s="99">
        <v>999</v>
      </c>
      <c r="Q158" s="99">
        <v>999</v>
      </c>
      <c r="R158" s="97">
        <f t="shared" si="2"/>
        <v>11988</v>
      </c>
    </row>
    <row r="159" spans="1:18" s="98" customFormat="1" ht="15" customHeight="1">
      <c r="A159" s="94">
        <v>2004</v>
      </c>
      <c r="B159" s="93" t="s">
        <v>201</v>
      </c>
      <c r="C159" s="94">
        <v>2</v>
      </c>
      <c r="D159" s="94">
        <v>31801</v>
      </c>
      <c r="E159" s="93" t="s">
        <v>196</v>
      </c>
      <c r="F159" s="99">
        <v>217</v>
      </c>
      <c r="G159" s="99">
        <v>217</v>
      </c>
      <c r="H159" s="99">
        <v>217</v>
      </c>
      <c r="I159" s="99">
        <v>217</v>
      </c>
      <c r="J159" s="99">
        <v>217</v>
      </c>
      <c r="K159" s="99">
        <v>217</v>
      </c>
      <c r="L159" s="99">
        <v>217</v>
      </c>
      <c r="M159" s="99">
        <v>217</v>
      </c>
      <c r="N159" s="99">
        <v>217</v>
      </c>
      <c r="O159" s="99">
        <v>217</v>
      </c>
      <c r="P159" s="99">
        <v>217</v>
      </c>
      <c r="Q159" s="99">
        <v>217</v>
      </c>
      <c r="R159" s="97">
        <f t="shared" si="2"/>
        <v>2604</v>
      </c>
    </row>
    <row r="160" spans="1:18" s="98" customFormat="1" ht="15" customHeight="1">
      <c r="A160" s="94">
        <v>2004</v>
      </c>
      <c r="B160" s="93" t="s">
        <v>201</v>
      </c>
      <c r="C160" s="94">
        <v>2</v>
      </c>
      <c r="D160" s="94">
        <v>37201</v>
      </c>
      <c r="E160" s="93" t="s">
        <v>164</v>
      </c>
      <c r="F160" s="99">
        <v>500</v>
      </c>
      <c r="G160" s="99">
        <v>500</v>
      </c>
      <c r="H160" s="99">
        <v>500</v>
      </c>
      <c r="I160" s="99">
        <v>500</v>
      </c>
      <c r="J160" s="99">
        <v>500</v>
      </c>
      <c r="K160" s="99">
        <v>500</v>
      </c>
      <c r="L160" s="99">
        <v>500</v>
      </c>
      <c r="M160" s="99">
        <v>500</v>
      </c>
      <c r="N160" s="99">
        <v>500</v>
      </c>
      <c r="O160" s="99">
        <v>500</v>
      </c>
      <c r="P160" s="99">
        <v>500</v>
      </c>
      <c r="Q160" s="99">
        <v>500</v>
      </c>
      <c r="R160" s="97">
        <f t="shared" si="2"/>
        <v>6000</v>
      </c>
    </row>
    <row r="161" spans="1:18" s="98" customFormat="1" ht="15" customHeight="1">
      <c r="A161" s="94">
        <v>2004</v>
      </c>
      <c r="B161" s="93" t="s">
        <v>201</v>
      </c>
      <c r="C161" s="94">
        <v>2</v>
      </c>
      <c r="D161" s="92">
        <v>39801</v>
      </c>
      <c r="E161" s="95" t="s">
        <v>176</v>
      </c>
      <c r="F161" s="96">
        <v>559.30999999999995</v>
      </c>
      <c r="G161" s="96">
        <v>559.30999999999995</v>
      </c>
      <c r="H161" s="96">
        <v>559.30999999999995</v>
      </c>
      <c r="I161" s="96">
        <v>559.30999999999995</v>
      </c>
      <c r="J161" s="96">
        <v>559.30999999999995</v>
      </c>
      <c r="K161" s="96">
        <v>559.30999999999995</v>
      </c>
      <c r="L161" s="96">
        <v>559.30999999999995</v>
      </c>
      <c r="M161" s="96">
        <v>559.30999999999995</v>
      </c>
      <c r="N161" s="96">
        <v>559.30999999999995</v>
      </c>
      <c r="O161" s="96">
        <v>559.30999999999995</v>
      </c>
      <c r="P161" s="96">
        <v>559.30999999999995</v>
      </c>
      <c r="Q161" s="96">
        <v>559.38</v>
      </c>
      <c r="R161" s="97">
        <f t="shared" si="2"/>
        <v>6711.7899999999981</v>
      </c>
    </row>
    <row r="162" spans="1:18" s="98" customFormat="1" ht="15" customHeight="1">
      <c r="A162" s="94">
        <v>2004</v>
      </c>
      <c r="B162" s="93" t="s">
        <v>201</v>
      </c>
      <c r="C162" s="94">
        <v>2</v>
      </c>
      <c r="D162" s="92">
        <v>39802</v>
      </c>
      <c r="E162" s="95" t="s">
        <v>177</v>
      </c>
      <c r="F162" s="96">
        <v>559.30999999999995</v>
      </c>
      <c r="G162" s="96">
        <v>559.30999999999995</v>
      </c>
      <c r="H162" s="96">
        <v>559.30999999999995</v>
      </c>
      <c r="I162" s="96">
        <v>559.30999999999995</v>
      </c>
      <c r="J162" s="96">
        <v>559.30999999999995</v>
      </c>
      <c r="K162" s="96">
        <v>559.30999999999995</v>
      </c>
      <c r="L162" s="96">
        <v>559.30999999999995</v>
      </c>
      <c r="M162" s="96">
        <v>559.30999999999995</v>
      </c>
      <c r="N162" s="96">
        <v>559.30999999999995</v>
      </c>
      <c r="O162" s="96">
        <v>559.30999999999995</v>
      </c>
      <c r="P162" s="96">
        <v>559.30999999999995</v>
      </c>
      <c r="Q162" s="96">
        <v>559.38</v>
      </c>
      <c r="R162" s="97">
        <f t="shared" si="2"/>
        <v>6711.7899999999981</v>
      </c>
    </row>
    <row r="163" spans="1:18" s="98" customFormat="1" ht="15" customHeight="1">
      <c r="A163" s="94">
        <v>2004</v>
      </c>
      <c r="B163" s="93" t="s">
        <v>201</v>
      </c>
      <c r="C163" s="94">
        <v>2</v>
      </c>
      <c r="D163" s="92">
        <v>39803</v>
      </c>
      <c r="E163" s="95" t="s">
        <v>178</v>
      </c>
      <c r="F163" s="96">
        <v>3728.77</v>
      </c>
      <c r="G163" s="96">
        <v>3728.77</v>
      </c>
      <c r="H163" s="96">
        <v>3728.77</v>
      </c>
      <c r="I163" s="96">
        <v>3728.77</v>
      </c>
      <c r="J163" s="96">
        <v>3728.77</v>
      </c>
      <c r="K163" s="96">
        <v>3728.77</v>
      </c>
      <c r="L163" s="96">
        <v>3728.77</v>
      </c>
      <c r="M163" s="96">
        <v>3728.77</v>
      </c>
      <c r="N163" s="96">
        <v>3728.77</v>
      </c>
      <c r="O163" s="96">
        <v>3728.77</v>
      </c>
      <c r="P163" s="96">
        <v>3728.77</v>
      </c>
      <c r="Q163" s="96">
        <v>3728.79</v>
      </c>
      <c r="R163" s="97">
        <f t="shared" si="2"/>
        <v>44745.259999999995</v>
      </c>
    </row>
    <row r="164" spans="1:18" s="98" customFormat="1" ht="15" customHeight="1">
      <c r="A164" s="94">
        <v>2004</v>
      </c>
      <c r="B164" s="93" t="s">
        <v>201</v>
      </c>
      <c r="C164" s="94">
        <v>2</v>
      </c>
      <c r="D164" s="92">
        <v>39804</v>
      </c>
      <c r="E164" s="95" t="s">
        <v>179</v>
      </c>
      <c r="F164" s="96">
        <v>559.30999999999995</v>
      </c>
      <c r="G164" s="96">
        <v>559.30999999999995</v>
      </c>
      <c r="H164" s="96">
        <v>559.30999999999995</v>
      </c>
      <c r="I164" s="96">
        <v>559.30999999999995</v>
      </c>
      <c r="J164" s="96">
        <v>559.30999999999995</v>
      </c>
      <c r="K164" s="96">
        <v>559.30999999999995</v>
      </c>
      <c r="L164" s="96">
        <v>559.30999999999995</v>
      </c>
      <c r="M164" s="96">
        <v>559.30999999999995</v>
      </c>
      <c r="N164" s="96">
        <v>559.30999999999995</v>
      </c>
      <c r="O164" s="96">
        <v>559.30999999999995</v>
      </c>
      <c r="P164" s="96">
        <v>559.30999999999995</v>
      </c>
      <c r="Q164" s="96">
        <v>559.38</v>
      </c>
      <c r="R164" s="97">
        <f t="shared" si="2"/>
        <v>6711.7899999999981</v>
      </c>
    </row>
    <row r="165" spans="1:18" s="98" customFormat="1" ht="15" customHeight="1">
      <c r="A165" s="92">
        <v>2005</v>
      </c>
      <c r="B165" s="93" t="s">
        <v>203</v>
      </c>
      <c r="C165" s="94">
        <v>2</v>
      </c>
      <c r="D165" s="92">
        <v>11301</v>
      </c>
      <c r="E165" s="95" t="s">
        <v>128</v>
      </c>
      <c r="F165" s="96">
        <v>117353.78000000001</v>
      </c>
      <c r="G165" s="96">
        <v>117353.78000000001</v>
      </c>
      <c r="H165" s="96">
        <v>117353.78000000001</v>
      </c>
      <c r="I165" s="96">
        <v>117353.78000000001</v>
      </c>
      <c r="J165" s="96">
        <v>117353.78000000001</v>
      </c>
      <c r="K165" s="96">
        <v>117353.78000000001</v>
      </c>
      <c r="L165" s="96">
        <v>117353.78000000001</v>
      </c>
      <c r="M165" s="96">
        <v>117353.78000000001</v>
      </c>
      <c r="N165" s="96">
        <v>117353.78000000001</v>
      </c>
      <c r="O165" s="96">
        <v>117353.78000000001</v>
      </c>
      <c r="P165" s="96">
        <v>117353.78000000001</v>
      </c>
      <c r="Q165" s="96">
        <v>117353.78000000001</v>
      </c>
      <c r="R165" s="97">
        <f t="shared" si="2"/>
        <v>1408245.36</v>
      </c>
    </row>
    <row r="166" spans="1:18" s="98" customFormat="1" ht="15" customHeight="1">
      <c r="A166" s="92">
        <v>2005</v>
      </c>
      <c r="B166" s="93" t="s">
        <v>203</v>
      </c>
      <c r="C166" s="94">
        <v>2</v>
      </c>
      <c r="D166" s="92">
        <v>11302</v>
      </c>
      <c r="E166" s="95" t="s">
        <v>129</v>
      </c>
      <c r="F166" s="96">
        <v>117353.78000000001</v>
      </c>
      <c r="G166" s="96">
        <v>117353.78000000001</v>
      </c>
      <c r="H166" s="96">
        <v>117353.78000000001</v>
      </c>
      <c r="I166" s="96">
        <v>117353.78000000001</v>
      </c>
      <c r="J166" s="96">
        <v>117353.78000000001</v>
      </c>
      <c r="K166" s="96">
        <v>117353.78000000001</v>
      </c>
      <c r="L166" s="96">
        <v>117353.78000000001</v>
      </c>
      <c r="M166" s="96">
        <v>117353.78000000001</v>
      </c>
      <c r="N166" s="96">
        <v>117353.78000000001</v>
      </c>
      <c r="O166" s="96">
        <v>117353.78000000001</v>
      </c>
      <c r="P166" s="96">
        <v>117353.78000000001</v>
      </c>
      <c r="Q166" s="96">
        <v>117353.78000000001</v>
      </c>
      <c r="R166" s="97">
        <f t="shared" si="2"/>
        <v>1408245.36</v>
      </c>
    </row>
    <row r="167" spans="1:18" s="98" customFormat="1" ht="15" customHeight="1">
      <c r="A167" s="92">
        <v>2005</v>
      </c>
      <c r="B167" s="93" t="s">
        <v>203</v>
      </c>
      <c r="C167" s="94">
        <v>2</v>
      </c>
      <c r="D167" s="92">
        <v>11304</v>
      </c>
      <c r="E167" s="95" t="s">
        <v>131</v>
      </c>
      <c r="F167" s="96">
        <v>57171.5</v>
      </c>
      <c r="G167" s="96">
        <v>57171.5</v>
      </c>
      <c r="H167" s="96">
        <v>57171.5</v>
      </c>
      <c r="I167" s="96">
        <v>57171.5</v>
      </c>
      <c r="J167" s="96">
        <v>57171.5</v>
      </c>
      <c r="K167" s="96">
        <v>57171.5</v>
      </c>
      <c r="L167" s="96">
        <v>57171.5</v>
      </c>
      <c r="M167" s="96">
        <v>57171.5</v>
      </c>
      <c r="N167" s="96">
        <v>57171.5</v>
      </c>
      <c r="O167" s="96">
        <v>57171.5</v>
      </c>
      <c r="P167" s="96">
        <v>57171.5</v>
      </c>
      <c r="Q167" s="96">
        <v>57171.519999999997</v>
      </c>
      <c r="R167" s="97">
        <f t="shared" si="2"/>
        <v>686058.02</v>
      </c>
    </row>
    <row r="168" spans="1:18" s="98" customFormat="1" ht="15" customHeight="1">
      <c r="A168" s="92">
        <v>2005</v>
      </c>
      <c r="B168" s="93" t="s">
        <v>203</v>
      </c>
      <c r="C168" s="94">
        <v>2</v>
      </c>
      <c r="D168" s="92">
        <v>13101</v>
      </c>
      <c r="E168" s="95" t="s">
        <v>132</v>
      </c>
      <c r="F168" s="96">
        <v>3559.2000000000003</v>
      </c>
      <c r="G168" s="96">
        <v>3559.2000000000003</v>
      </c>
      <c r="H168" s="96">
        <v>3559.2000000000003</v>
      </c>
      <c r="I168" s="96">
        <v>3559.2000000000003</v>
      </c>
      <c r="J168" s="96">
        <v>3559.2000000000003</v>
      </c>
      <c r="K168" s="96">
        <v>3559.2000000000003</v>
      </c>
      <c r="L168" s="96">
        <v>3559.2000000000003</v>
      </c>
      <c r="M168" s="96">
        <v>3559.2000000000003</v>
      </c>
      <c r="N168" s="96">
        <v>3559.2000000000003</v>
      </c>
      <c r="O168" s="96">
        <v>3559.2000000000003</v>
      </c>
      <c r="P168" s="96">
        <v>3559.2000000000003</v>
      </c>
      <c r="Q168" s="96">
        <v>3559.2000000000003</v>
      </c>
      <c r="R168" s="97">
        <f t="shared" si="2"/>
        <v>42710.399999999994</v>
      </c>
    </row>
    <row r="169" spans="1:18" s="98" customFormat="1" ht="15" customHeight="1">
      <c r="A169" s="92">
        <v>2005</v>
      </c>
      <c r="B169" s="93" t="s">
        <v>203</v>
      </c>
      <c r="C169" s="94">
        <v>2</v>
      </c>
      <c r="D169" s="92">
        <v>13201</v>
      </c>
      <c r="E169" s="95" t="s">
        <v>133</v>
      </c>
      <c r="F169" s="96">
        <v>5180.45</v>
      </c>
      <c r="G169" s="96">
        <v>5180.45</v>
      </c>
      <c r="H169" s="96">
        <v>5180.45</v>
      </c>
      <c r="I169" s="96">
        <v>5180.45</v>
      </c>
      <c r="J169" s="96">
        <v>5180.45</v>
      </c>
      <c r="K169" s="96">
        <v>5180.45</v>
      </c>
      <c r="L169" s="96">
        <v>5180.45</v>
      </c>
      <c r="M169" s="96">
        <v>5180.45</v>
      </c>
      <c r="N169" s="96">
        <v>5180.45</v>
      </c>
      <c r="O169" s="96">
        <v>5180.45</v>
      </c>
      <c r="P169" s="96">
        <v>5180.45</v>
      </c>
      <c r="Q169" s="96">
        <v>5180.45</v>
      </c>
      <c r="R169" s="97">
        <f t="shared" si="2"/>
        <v>62165.399999999987</v>
      </c>
    </row>
    <row r="170" spans="1:18" s="98" customFormat="1" ht="15" customHeight="1">
      <c r="A170" s="92">
        <v>2005</v>
      </c>
      <c r="B170" s="93" t="s">
        <v>203</v>
      </c>
      <c r="C170" s="94">
        <v>2</v>
      </c>
      <c r="D170" s="92">
        <v>13203</v>
      </c>
      <c r="E170" s="95" t="s">
        <v>134</v>
      </c>
      <c r="F170" s="96">
        <v>69647.38</v>
      </c>
      <c r="G170" s="96">
        <v>69647.38</v>
      </c>
      <c r="H170" s="96">
        <v>69647.38</v>
      </c>
      <c r="I170" s="96">
        <v>69647.38</v>
      </c>
      <c r="J170" s="96">
        <v>69647.38</v>
      </c>
      <c r="K170" s="96">
        <v>69647.38</v>
      </c>
      <c r="L170" s="96">
        <v>69647.38</v>
      </c>
      <c r="M170" s="96">
        <v>69647.38</v>
      </c>
      <c r="N170" s="96">
        <v>69647.38</v>
      </c>
      <c r="O170" s="96">
        <v>69647.38</v>
      </c>
      <c r="P170" s="96">
        <v>69647.38</v>
      </c>
      <c r="Q170" s="96">
        <v>69647.460000000006</v>
      </c>
      <c r="R170" s="97">
        <f t="shared" si="2"/>
        <v>835768.64</v>
      </c>
    </row>
    <row r="171" spans="1:18" s="98" customFormat="1" ht="15" customHeight="1">
      <c r="A171" s="92">
        <v>2005</v>
      </c>
      <c r="B171" s="93" t="s">
        <v>203</v>
      </c>
      <c r="C171" s="94">
        <v>2</v>
      </c>
      <c r="D171" s="92">
        <v>13401</v>
      </c>
      <c r="E171" s="95" t="s">
        <v>135</v>
      </c>
      <c r="F171" s="96">
        <v>4656.74</v>
      </c>
      <c r="G171" s="96">
        <v>4656.74</v>
      </c>
      <c r="H171" s="96">
        <v>4656.74</v>
      </c>
      <c r="I171" s="96">
        <v>4656.74</v>
      </c>
      <c r="J171" s="96">
        <v>4656.74</v>
      </c>
      <c r="K171" s="96">
        <v>4656.74</v>
      </c>
      <c r="L171" s="96">
        <v>4656.74</v>
      </c>
      <c r="M171" s="96">
        <v>4656.74</v>
      </c>
      <c r="N171" s="96">
        <v>4656.74</v>
      </c>
      <c r="O171" s="96">
        <v>4656.74</v>
      </c>
      <c r="P171" s="96">
        <v>4656.74</v>
      </c>
      <c r="Q171" s="96">
        <v>4656.76</v>
      </c>
      <c r="R171" s="97">
        <f t="shared" si="2"/>
        <v>55880.899999999987</v>
      </c>
    </row>
    <row r="172" spans="1:18" s="98" customFormat="1" ht="15" customHeight="1">
      <c r="A172" s="92">
        <v>2005</v>
      </c>
      <c r="B172" s="93" t="s">
        <v>203</v>
      </c>
      <c r="C172" s="94">
        <v>2</v>
      </c>
      <c r="D172" s="92">
        <v>14101</v>
      </c>
      <c r="E172" s="95" t="s">
        <v>136</v>
      </c>
      <c r="F172" s="96">
        <v>9398.76</v>
      </c>
      <c r="G172" s="96">
        <v>9398.76</v>
      </c>
      <c r="H172" s="96">
        <v>9398.76</v>
      </c>
      <c r="I172" s="96">
        <v>9398.76</v>
      </c>
      <c r="J172" s="96">
        <v>9398.76</v>
      </c>
      <c r="K172" s="96">
        <v>9398.76</v>
      </c>
      <c r="L172" s="96">
        <v>9398.76</v>
      </c>
      <c r="M172" s="96">
        <v>9398.76</v>
      </c>
      <c r="N172" s="96">
        <v>9398.76</v>
      </c>
      <c r="O172" s="96">
        <v>9398.76</v>
      </c>
      <c r="P172" s="96">
        <v>9398.76</v>
      </c>
      <c r="Q172" s="96">
        <v>9398.76</v>
      </c>
      <c r="R172" s="97">
        <f t="shared" si="2"/>
        <v>112785.11999999998</v>
      </c>
    </row>
    <row r="173" spans="1:18" s="98" customFormat="1" ht="15" customHeight="1">
      <c r="A173" s="92">
        <v>2005</v>
      </c>
      <c r="B173" s="93" t="s">
        <v>203</v>
      </c>
      <c r="C173" s="94">
        <v>2</v>
      </c>
      <c r="D173" s="92">
        <v>14102</v>
      </c>
      <c r="E173" s="95" t="s">
        <v>137</v>
      </c>
      <c r="F173" s="96">
        <v>37412.21</v>
      </c>
      <c r="G173" s="96">
        <v>37412.21</v>
      </c>
      <c r="H173" s="96">
        <v>37412.21</v>
      </c>
      <c r="I173" s="96">
        <v>37412.21</v>
      </c>
      <c r="J173" s="96">
        <v>37412.21</v>
      </c>
      <c r="K173" s="96">
        <v>37412.21</v>
      </c>
      <c r="L173" s="96">
        <v>37412.21</v>
      </c>
      <c r="M173" s="96">
        <v>37412.21</v>
      </c>
      <c r="N173" s="96">
        <v>37412.21</v>
      </c>
      <c r="O173" s="96">
        <v>37412.21</v>
      </c>
      <c r="P173" s="96">
        <v>37412.21</v>
      </c>
      <c r="Q173" s="96">
        <v>37412.230000000003</v>
      </c>
      <c r="R173" s="97">
        <f t="shared" si="2"/>
        <v>448946.54000000004</v>
      </c>
    </row>
    <row r="174" spans="1:18" s="98" customFormat="1" ht="15" customHeight="1">
      <c r="A174" s="92">
        <v>2005</v>
      </c>
      <c r="B174" s="93" t="s">
        <v>203</v>
      </c>
      <c r="C174" s="94">
        <v>2</v>
      </c>
      <c r="D174" s="92">
        <v>14103</v>
      </c>
      <c r="E174" s="95" t="s">
        <v>138</v>
      </c>
      <c r="F174" s="96">
        <v>1923.58</v>
      </c>
      <c r="G174" s="96">
        <v>1923.58</v>
      </c>
      <c r="H174" s="96">
        <v>1923.58</v>
      </c>
      <c r="I174" s="96">
        <v>1923.58</v>
      </c>
      <c r="J174" s="96">
        <v>1923.58</v>
      </c>
      <c r="K174" s="96">
        <v>1923.58</v>
      </c>
      <c r="L174" s="96">
        <v>1923.58</v>
      </c>
      <c r="M174" s="96">
        <v>1923.58</v>
      </c>
      <c r="N174" s="96">
        <v>1923.58</v>
      </c>
      <c r="O174" s="96">
        <v>1923.58</v>
      </c>
      <c r="P174" s="96">
        <v>1923.58</v>
      </c>
      <c r="Q174" s="96">
        <v>1923.69</v>
      </c>
      <c r="R174" s="97">
        <f t="shared" si="2"/>
        <v>23083.070000000003</v>
      </c>
    </row>
    <row r="175" spans="1:18" s="98" customFormat="1" ht="15" customHeight="1">
      <c r="A175" s="92">
        <v>2005</v>
      </c>
      <c r="B175" s="93" t="s">
        <v>203</v>
      </c>
      <c r="C175" s="94">
        <v>2</v>
      </c>
      <c r="D175" s="92">
        <v>15201</v>
      </c>
      <c r="E175" s="95" t="s">
        <v>139</v>
      </c>
      <c r="F175" s="96">
        <v>1372.8</v>
      </c>
      <c r="G175" s="96">
        <v>1372.8</v>
      </c>
      <c r="H175" s="96">
        <v>1372.8</v>
      </c>
      <c r="I175" s="96">
        <v>1372.8</v>
      </c>
      <c r="J175" s="96">
        <v>1372.8</v>
      </c>
      <c r="K175" s="96">
        <v>1372.8</v>
      </c>
      <c r="L175" s="96">
        <v>1372.8</v>
      </c>
      <c r="M175" s="96">
        <v>1372.8</v>
      </c>
      <c r="N175" s="96">
        <v>1372.8</v>
      </c>
      <c r="O175" s="96">
        <v>1372.8</v>
      </c>
      <c r="P175" s="96">
        <v>1372.8</v>
      </c>
      <c r="Q175" s="96">
        <v>1372.8</v>
      </c>
      <c r="R175" s="97">
        <f t="shared" si="2"/>
        <v>16473.599999999995</v>
      </c>
    </row>
    <row r="176" spans="1:18" s="98" customFormat="1" ht="15" customHeight="1">
      <c r="A176" s="92">
        <v>2005</v>
      </c>
      <c r="B176" s="93" t="s">
        <v>203</v>
      </c>
      <c r="C176" s="94">
        <v>2</v>
      </c>
      <c r="D176" s="92">
        <v>15401</v>
      </c>
      <c r="E176" s="95" t="s">
        <v>140</v>
      </c>
      <c r="F176" s="96">
        <v>5776.94</v>
      </c>
      <c r="G176" s="96">
        <v>5776.94</v>
      </c>
      <c r="H176" s="96">
        <v>5776.94</v>
      </c>
      <c r="I176" s="96">
        <v>5776.94</v>
      </c>
      <c r="J176" s="96">
        <v>5776.94</v>
      </c>
      <c r="K176" s="96">
        <v>5776.94</v>
      </c>
      <c r="L176" s="96">
        <v>5776.94</v>
      </c>
      <c r="M176" s="96">
        <v>5776.94</v>
      </c>
      <c r="N176" s="96">
        <v>5776.94</v>
      </c>
      <c r="O176" s="96">
        <v>5776.94</v>
      </c>
      <c r="P176" s="96">
        <v>5776.94</v>
      </c>
      <c r="Q176" s="96">
        <v>5777.05</v>
      </c>
      <c r="R176" s="97">
        <f t="shared" si="2"/>
        <v>69323.390000000014</v>
      </c>
    </row>
    <row r="177" spans="1:18" s="98" customFormat="1" ht="15" customHeight="1">
      <c r="A177" s="92">
        <v>2005</v>
      </c>
      <c r="B177" s="93" t="s">
        <v>203</v>
      </c>
      <c r="C177" s="94">
        <v>2</v>
      </c>
      <c r="D177" s="92">
        <v>15404</v>
      </c>
      <c r="E177" s="95" t="s">
        <v>142</v>
      </c>
      <c r="F177" s="96">
        <v>13998.23</v>
      </c>
      <c r="G177" s="96">
        <v>13998.23</v>
      </c>
      <c r="H177" s="96">
        <v>13998.23</v>
      </c>
      <c r="I177" s="96">
        <v>13998.23</v>
      </c>
      <c r="J177" s="96">
        <v>13998.23</v>
      </c>
      <c r="K177" s="96">
        <v>13998.23</v>
      </c>
      <c r="L177" s="96">
        <v>13998.23</v>
      </c>
      <c r="M177" s="96">
        <v>13998.23</v>
      </c>
      <c r="N177" s="96">
        <v>13998.23</v>
      </c>
      <c r="O177" s="96">
        <v>13998.23</v>
      </c>
      <c r="P177" s="96">
        <v>13998.23</v>
      </c>
      <c r="Q177" s="96">
        <v>13998.31</v>
      </c>
      <c r="R177" s="97">
        <f t="shared" si="2"/>
        <v>167978.84</v>
      </c>
    </row>
    <row r="178" spans="1:18" s="98" customFormat="1" ht="15" customHeight="1">
      <c r="A178" s="92">
        <v>2005</v>
      </c>
      <c r="B178" s="93" t="s">
        <v>203</v>
      </c>
      <c r="C178" s="94">
        <v>2</v>
      </c>
      <c r="D178" s="92">
        <v>15405</v>
      </c>
      <c r="E178" s="95" t="s">
        <v>143</v>
      </c>
      <c r="F178" s="96">
        <v>3016.4</v>
      </c>
      <c r="G178" s="96">
        <v>3016.4</v>
      </c>
      <c r="H178" s="96">
        <v>3016.4</v>
      </c>
      <c r="I178" s="96">
        <v>3016.4</v>
      </c>
      <c r="J178" s="96">
        <v>3016.4</v>
      </c>
      <c r="K178" s="96">
        <v>3016.4</v>
      </c>
      <c r="L178" s="96">
        <v>3016.4</v>
      </c>
      <c r="M178" s="96">
        <v>3016.4</v>
      </c>
      <c r="N178" s="96">
        <v>3016.4</v>
      </c>
      <c r="O178" s="96">
        <v>3016.4</v>
      </c>
      <c r="P178" s="96">
        <v>3016.4</v>
      </c>
      <c r="Q178" s="96">
        <v>3016.4</v>
      </c>
      <c r="R178" s="97">
        <f t="shared" si="2"/>
        <v>36196.80000000001</v>
      </c>
    </row>
    <row r="179" spans="1:18" s="98" customFormat="1" ht="15" customHeight="1">
      <c r="A179" s="92">
        <v>2005</v>
      </c>
      <c r="B179" s="93" t="s">
        <v>203</v>
      </c>
      <c r="C179" s="94">
        <v>2</v>
      </c>
      <c r="D179" s="92">
        <v>15407</v>
      </c>
      <c r="E179" s="95" t="s">
        <v>144</v>
      </c>
      <c r="F179" s="99">
        <v>2284.0100000000002</v>
      </c>
      <c r="G179" s="99">
        <v>2284.0100000000002</v>
      </c>
      <c r="H179" s="99">
        <v>2284.0100000000002</v>
      </c>
      <c r="I179" s="99">
        <v>2284.0100000000002</v>
      </c>
      <c r="J179" s="99">
        <v>2284.0100000000002</v>
      </c>
      <c r="K179" s="99">
        <v>2284.0100000000002</v>
      </c>
      <c r="L179" s="99">
        <v>2284.0100000000002</v>
      </c>
      <c r="M179" s="99">
        <v>2284.0100000000002</v>
      </c>
      <c r="N179" s="99">
        <v>2284.0100000000002</v>
      </c>
      <c r="O179" s="99">
        <v>2284.0100000000002</v>
      </c>
      <c r="P179" s="99">
        <v>2284.0100000000002</v>
      </c>
      <c r="Q179" s="99">
        <v>2284.04</v>
      </c>
      <c r="R179" s="97">
        <f t="shared" si="2"/>
        <v>27408.150000000009</v>
      </c>
    </row>
    <row r="180" spans="1:18" s="98" customFormat="1" ht="15" customHeight="1">
      <c r="A180" s="92">
        <v>2005</v>
      </c>
      <c r="B180" s="93" t="s">
        <v>203</v>
      </c>
      <c r="C180" s="94">
        <v>2</v>
      </c>
      <c r="D180" s="92">
        <v>15902</v>
      </c>
      <c r="E180" s="95" t="s">
        <v>145</v>
      </c>
      <c r="F180" s="96">
        <v>0</v>
      </c>
      <c r="G180" s="96">
        <v>0</v>
      </c>
      <c r="H180" s="96">
        <v>0</v>
      </c>
      <c r="I180" s="96">
        <v>0</v>
      </c>
      <c r="J180" s="96">
        <v>0</v>
      </c>
      <c r="K180" s="96">
        <v>0</v>
      </c>
      <c r="L180" s="96">
        <v>0</v>
      </c>
      <c r="M180" s="96">
        <v>450</v>
      </c>
      <c r="N180" s="96">
        <v>0</v>
      </c>
      <c r="O180" s="96">
        <v>0</v>
      </c>
      <c r="P180" s="96">
        <v>0</v>
      </c>
      <c r="Q180" s="96">
        <v>0</v>
      </c>
      <c r="R180" s="97">
        <f t="shared" si="2"/>
        <v>450</v>
      </c>
    </row>
    <row r="181" spans="1:18" s="98" customFormat="1" ht="15" customHeight="1">
      <c r="A181" s="92">
        <v>2005</v>
      </c>
      <c r="B181" s="93" t="s">
        <v>203</v>
      </c>
      <c r="C181" s="94">
        <v>2</v>
      </c>
      <c r="D181" s="92">
        <v>15903</v>
      </c>
      <c r="E181" s="95" t="s">
        <v>146</v>
      </c>
      <c r="F181" s="96">
        <v>0</v>
      </c>
      <c r="G181" s="96">
        <v>0</v>
      </c>
      <c r="H181" s="96">
        <v>0</v>
      </c>
      <c r="I181" s="96">
        <v>0</v>
      </c>
      <c r="J181" s="96">
        <v>0</v>
      </c>
      <c r="K181" s="96">
        <v>0</v>
      </c>
      <c r="L181" s="96">
        <v>0</v>
      </c>
      <c r="M181" s="96">
        <v>36000</v>
      </c>
      <c r="N181" s="96"/>
      <c r="O181" s="96"/>
      <c r="P181" s="96">
        <v>0</v>
      </c>
      <c r="Q181" s="96">
        <v>0</v>
      </c>
      <c r="R181" s="97">
        <f t="shared" si="2"/>
        <v>36000</v>
      </c>
    </row>
    <row r="182" spans="1:18" s="98" customFormat="1" ht="15" customHeight="1">
      <c r="A182" s="92">
        <v>2005</v>
      </c>
      <c r="B182" s="93" t="s">
        <v>203</v>
      </c>
      <c r="C182" s="94">
        <v>2</v>
      </c>
      <c r="D182" s="92">
        <v>15904</v>
      </c>
      <c r="E182" s="95" t="s">
        <v>147</v>
      </c>
      <c r="F182" s="96">
        <v>0</v>
      </c>
      <c r="G182" s="96">
        <v>0</v>
      </c>
      <c r="H182" s="96">
        <v>0</v>
      </c>
      <c r="I182" s="96">
        <v>0</v>
      </c>
      <c r="J182" s="96">
        <v>21000</v>
      </c>
      <c r="K182" s="96">
        <v>0</v>
      </c>
      <c r="L182" s="96">
        <v>0</v>
      </c>
      <c r="M182" s="96">
        <v>0</v>
      </c>
      <c r="N182" s="96">
        <v>0</v>
      </c>
      <c r="O182" s="96">
        <v>0</v>
      </c>
      <c r="P182" s="96">
        <v>0</v>
      </c>
      <c r="Q182" s="96">
        <v>0</v>
      </c>
      <c r="R182" s="97">
        <f t="shared" si="2"/>
        <v>21000</v>
      </c>
    </row>
    <row r="183" spans="1:18" s="98" customFormat="1" ht="15" customHeight="1">
      <c r="A183" s="92">
        <v>2005</v>
      </c>
      <c r="B183" s="93" t="s">
        <v>203</v>
      </c>
      <c r="C183" s="94">
        <v>2</v>
      </c>
      <c r="D183" s="92">
        <v>15905</v>
      </c>
      <c r="E183" s="95" t="s">
        <v>148</v>
      </c>
      <c r="F183" s="96">
        <v>0</v>
      </c>
      <c r="G183" s="96">
        <v>0</v>
      </c>
      <c r="H183" s="96">
        <v>0</v>
      </c>
      <c r="I183" s="96">
        <v>0</v>
      </c>
      <c r="J183" s="96">
        <v>0</v>
      </c>
      <c r="K183" s="96">
        <v>7200</v>
      </c>
      <c r="L183" s="96">
        <v>0</v>
      </c>
      <c r="M183" s="96">
        <v>0</v>
      </c>
      <c r="N183" s="96">
        <v>0</v>
      </c>
      <c r="O183" s="96">
        <v>0</v>
      </c>
      <c r="P183" s="96">
        <v>0</v>
      </c>
      <c r="Q183" s="96">
        <v>0</v>
      </c>
      <c r="R183" s="97">
        <f t="shared" si="2"/>
        <v>7200</v>
      </c>
    </row>
    <row r="184" spans="1:18" s="98" customFormat="1" ht="15" customHeight="1">
      <c r="A184" s="94">
        <v>2005</v>
      </c>
      <c r="B184" s="93" t="s">
        <v>203</v>
      </c>
      <c r="C184" s="94">
        <v>2</v>
      </c>
      <c r="D184" s="94">
        <v>21101</v>
      </c>
      <c r="E184" s="93" t="s">
        <v>150</v>
      </c>
      <c r="F184" s="99">
        <v>6000</v>
      </c>
      <c r="G184" s="99">
        <v>6000</v>
      </c>
      <c r="H184" s="99">
        <v>5000</v>
      </c>
      <c r="I184" s="99">
        <v>5000</v>
      </c>
      <c r="J184" s="99">
        <v>5000</v>
      </c>
      <c r="K184" s="99">
        <v>5000</v>
      </c>
      <c r="L184" s="99">
        <v>5000</v>
      </c>
      <c r="M184" s="99">
        <v>5000</v>
      </c>
      <c r="N184" s="99">
        <v>5000</v>
      </c>
      <c r="O184" s="99">
        <v>6000</v>
      </c>
      <c r="P184" s="99">
        <v>6000</v>
      </c>
      <c r="Q184" s="99">
        <v>6000</v>
      </c>
      <c r="R184" s="97">
        <f t="shared" si="2"/>
        <v>65000</v>
      </c>
    </row>
    <row r="185" spans="1:18" s="98" customFormat="1" ht="15" customHeight="1">
      <c r="A185" s="94">
        <v>2005</v>
      </c>
      <c r="B185" s="93" t="s">
        <v>203</v>
      </c>
      <c r="C185" s="94">
        <v>2</v>
      </c>
      <c r="D185" s="94">
        <v>21401</v>
      </c>
      <c r="E185" s="93" t="s">
        <v>151</v>
      </c>
      <c r="F185" s="99">
        <v>2100</v>
      </c>
      <c r="G185" s="99">
        <v>2100</v>
      </c>
      <c r="H185" s="99">
        <v>2100</v>
      </c>
      <c r="I185" s="99">
        <v>2100</v>
      </c>
      <c r="J185" s="99">
        <v>2100</v>
      </c>
      <c r="K185" s="99">
        <v>2100</v>
      </c>
      <c r="L185" s="99">
        <v>2100</v>
      </c>
      <c r="M185" s="99">
        <v>2100</v>
      </c>
      <c r="N185" s="99">
        <v>2100</v>
      </c>
      <c r="O185" s="99">
        <v>2100</v>
      </c>
      <c r="P185" s="99">
        <v>2100</v>
      </c>
      <c r="Q185" s="99">
        <v>2100</v>
      </c>
      <c r="R185" s="97">
        <f t="shared" si="2"/>
        <v>25200</v>
      </c>
    </row>
    <row r="186" spans="1:18" s="98" customFormat="1" ht="15" customHeight="1">
      <c r="A186" s="94">
        <v>2005</v>
      </c>
      <c r="B186" s="93" t="s">
        <v>203</v>
      </c>
      <c r="C186" s="94">
        <v>2</v>
      </c>
      <c r="D186" s="94">
        <v>22101</v>
      </c>
      <c r="E186" s="93" t="s">
        <v>152</v>
      </c>
      <c r="F186" s="99">
        <v>1000</v>
      </c>
      <c r="G186" s="99">
        <v>500</v>
      </c>
      <c r="H186" s="99">
        <v>1000</v>
      </c>
      <c r="I186" s="99">
        <v>500</v>
      </c>
      <c r="J186" s="99">
        <v>500</v>
      </c>
      <c r="K186" s="99">
        <v>500</v>
      </c>
      <c r="L186" s="99">
        <v>500</v>
      </c>
      <c r="M186" s="99">
        <v>500</v>
      </c>
      <c r="N186" s="99">
        <v>900</v>
      </c>
      <c r="O186" s="99">
        <v>1000</v>
      </c>
      <c r="P186" s="99">
        <v>500</v>
      </c>
      <c r="Q186" s="99">
        <v>1000</v>
      </c>
      <c r="R186" s="97">
        <f t="shared" si="2"/>
        <v>8400</v>
      </c>
    </row>
    <row r="187" spans="1:18" s="98" customFormat="1" ht="15" customHeight="1">
      <c r="A187" s="94">
        <v>2005</v>
      </c>
      <c r="B187" s="93" t="s">
        <v>203</v>
      </c>
      <c r="C187" s="94">
        <v>2</v>
      </c>
      <c r="D187" s="94">
        <v>27101</v>
      </c>
      <c r="E187" s="103" t="s">
        <v>195</v>
      </c>
      <c r="F187" s="99">
        <v>0</v>
      </c>
      <c r="G187" s="99">
        <v>4675</v>
      </c>
      <c r="H187" s="99">
        <v>4675</v>
      </c>
      <c r="I187" s="99">
        <v>0</v>
      </c>
      <c r="J187" s="99">
        <v>0</v>
      </c>
      <c r="K187" s="99">
        <v>0</v>
      </c>
      <c r="L187" s="99">
        <v>0</v>
      </c>
      <c r="M187" s="99">
        <v>0</v>
      </c>
      <c r="N187" s="99">
        <v>0</v>
      </c>
      <c r="O187" s="99">
        <v>0</v>
      </c>
      <c r="P187" s="99">
        <v>0</v>
      </c>
      <c r="Q187" s="99">
        <v>0</v>
      </c>
      <c r="R187" s="97">
        <f t="shared" si="2"/>
        <v>9350</v>
      </c>
    </row>
    <row r="188" spans="1:18" s="98" customFormat="1" ht="15" customHeight="1">
      <c r="A188" s="94">
        <v>2005</v>
      </c>
      <c r="B188" s="93" t="s">
        <v>203</v>
      </c>
      <c r="C188" s="94">
        <v>2</v>
      </c>
      <c r="D188" s="94">
        <v>29401</v>
      </c>
      <c r="E188" s="93" t="s">
        <v>155</v>
      </c>
      <c r="F188" s="99"/>
      <c r="G188" s="99">
        <v>200</v>
      </c>
      <c r="H188" s="99"/>
      <c r="I188" s="99"/>
      <c r="J188" s="99"/>
      <c r="K188" s="99"/>
      <c r="L188" s="99"/>
      <c r="M188" s="99">
        <v>200</v>
      </c>
      <c r="N188" s="99"/>
      <c r="O188" s="99"/>
      <c r="P188" s="99"/>
      <c r="Q188" s="99"/>
      <c r="R188" s="97">
        <f t="shared" si="2"/>
        <v>400</v>
      </c>
    </row>
    <row r="189" spans="1:18" s="98" customFormat="1" ht="15" customHeight="1">
      <c r="A189" s="94">
        <v>2005</v>
      </c>
      <c r="B189" s="93" t="s">
        <v>203</v>
      </c>
      <c r="C189" s="94">
        <v>2</v>
      </c>
      <c r="D189" s="94">
        <v>31101</v>
      </c>
      <c r="E189" s="93" t="s">
        <v>157</v>
      </c>
      <c r="F189" s="99">
        <v>1934</v>
      </c>
      <c r="G189" s="99">
        <v>1934</v>
      </c>
      <c r="H189" s="99">
        <v>1934</v>
      </c>
      <c r="I189" s="99">
        <v>1934</v>
      </c>
      <c r="J189" s="99">
        <v>1934</v>
      </c>
      <c r="K189" s="99">
        <v>1934</v>
      </c>
      <c r="L189" s="99">
        <v>1934</v>
      </c>
      <c r="M189" s="99">
        <v>1934</v>
      </c>
      <c r="N189" s="99">
        <v>1934</v>
      </c>
      <c r="O189" s="99">
        <v>1934</v>
      </c>
      <c r="P189" s="99">
        <v>1934</v>
      </c>
      <c r="Q189" s="99">
        <v>1934</v>
      </c>
      <c r="R189" s="97">
        <f t="shared" si="2"/>
        <v>23208</v>
      </c>
    </row>
    <row r="190" spans="1:18" s="98" customFormat="1" ht="15" customHeight="1">
      <c r="A190" s="94">
        <v>2005</v>
      </c>
      <c r="B190" s="93" t="s">
        <v>203</v>
      </c>
      <c r="C190" s="94">
        <v>2</v>
      </c>
      <c r="D190" s="94">
        <v>33601</v>
      </c>
      <c r="E190" s="93" t="s">
        <v>204</v>
      </c>
      <c r="F190" s="99">
        <v>0</v>
      </c>
      <c r="G190" s="99">
        <v>0</v>
      </c>
      <c r="H190" s="99">
        <v>1500</v>
      </c>
      <c r="I190" s="99">
        <v>0</v>
      </c>
      <c r="J190" s="99"/>
      <c r="K190" s="99">
        <v>0</v>
      </c>
      <c r="L190" s="99">
        <v>1500</v>
      </c>
      <c r="M190" s="99">
        <v>0</v>
      </c>
      <c r="N190" s="99">
        <v>0</v>
      </c>
      <c r="O190" s="99">
        <v>0</v>
      </c>
      <c r="P190" s="99">
        <v>0</v>
      </c>
      <c r="Q190" s="99">
        <v>0</v>
      </c>
      <c r="R190" s="97">
        <f t="shared" si="2"/>
        <v>3000</v>
      </c>
    </row>
    <row r="191" spans="1:18" s="98" customFormat="1" ht="15" customHeight="1">
      <c r="A191" s="94">
        <v>2005</v>
      </c>
      <c r="B191" s="93" t="s">
        <v>203</v>
      </c>
      <c r="C191" s="94">
        <v>2</v>
      </c>
      <c r="D191" s="94">
        <v>37201</v>
      </c>
      <c r="E191" s="93" t="s">
        <v>164</v>
      </c>
      <c r="F191" s="99">
        <v>200</v>
      </c>
      <c r="G191" s="99"/>
      <c r="H191" s="99">
        <v>200</v>
      </c>
      <c r="I191" s="99">
        <v>200</v>
      </c>
      <c r="J191" s="99"/>
      <c r="K191" s="99">
        <v>200</v>
      </c>
      <c r="L191" s="99">
        <v>200</v>
      </c>
      <c r="M191" s="99"/>
      <c r="N191" s="99">
        <v>200</v>
      </c>
      <c r="O191" s="99">
        <v>200</v>
      </c>
      <c r="P191" s="99">
        <v>200</v>
      </c>
      <c r="Q191" s="99">
        <v>200</v>
      </c>
      <c r="R191" s="97">
        <f t="shared" si="2"/>
        <v>1800</v>
      </c>
    </row>
    <row r="192" spans="1:18" s="98" customFormat="1" ht="15" customHeight="1">
      <c r="A192" s="94">
        <v>2005</v>
      </c>
      <c r="B192" s="93" t="s">
        <v>203</v>
      </c>
      <c r="C192" s="94">
        <v>2</v>
      </c>
      <c r="D192" s="94">
        <v>37202</v>
      </c>
      <c r="E192" s="93" t="s">
        <v>165</v>
      </c>
      <c r="F192" s="99">
        <v>500</v>
      </c>
      <c r="G192" s="99"/>
      <c r="H192" s="99"/>
      <c r="I192" s="99"/>
      <c r="J192" s="99"/>
      <c r="K192" s="99"/>
      <c r="L192" s="99">
        <v>500</v>
      </c>
      <c r="M192" s="99"/>
      <c r="N192" s="99"/>
      <c r="O192" s="99"/>
      <c r="P192" s="99"/>
      <c r="Q192" s="99"/>
      <c r="R192" s="97">
        <f t="shared" si="2"/>
        <v>1000</v>
      </c>
    </row>
    <row r="193" spans="1:18" s="98" customFormat="1" ht="15" customHeight="1">
      <c r="A193" s="94">
        <v>2005</v>
      </c>
      <c r="B193" s="93" t="s">
        <v>203</v>
      </c>
      <c r="C193" s="94">
        <v>2</v>
      </c>
      <c r="D193" s="94">
        <v>37203</v>
      </c>
      <c r="E193" s="93" t="s">
        <v>166</v>
      </c>
      <c r="F193" s="99">
        <v>500</v>
      </c>
      <c r="G193" s="99"/>
      <c r="H193" s="99">
        <v>500</v>
      </c>
      <c r="I193" s="99"/>
      <c r="J193" s="99">
        <v>500</v>
      </c>
      <c r="K193" s="99"/>
      <c r="L193" s="99">
        <v>500</v>
      </c>
      <c r="M193" s="99"/>
      <c r="N193" s="99">
        <v>500</v>
      </c>
      <c r="O193" s="99"/>
      <c r="P193" s="99">
        <v>500</v>
      </c>
      <c r="Q193" s="99"/>
      <c r="R193" s="97">
        <f t="shared" si="2"/>
        <v>3000</v>
      </c>
    </row>
    <row r="194" spans="1:18" s="98" customFormat="1" ht="15" customHeight="1">
      <c r="A194" s="94">
        <v>2005</v>
      </c>
      <c r="B194" s="93" t="s">
        <v>203</v>
      </c>
      <c r="C194" s="94">
        <v>2</v>
      </c>
      <c r="D194" s="94">
        <v>37204</v>
      </c>
      <c r="E194" s="93" t="s">
        <v>167</v>
      </c>
      <c r="F194" s="99">
        <v>100</v>
      </c>
      <c r="G194" s="99">
        <v>100</v>
      </c>
      <c r="H194" s="99"/>
      <c r="I194" s="99"/>
      <c r="J194" s="99">
        <v>100</v>
      </c>
      <c r="K194" s="99"/>
      <c r="L194" s="99">
        <v>100</v>
      </c>
      <c r="M194" s="99"/>
      <c r="N194" s="99">
        <v>100</v>
      </c>
      <c r="O194" s="99"/>
      <c r="P194" s="99">
        <v>100</v>
      </c>
      <c r="Q194" s="99"/>
      <c r="R194" s="97">
        <f t="shared" si="2"/>
        <v>600</v>
      </c>
    </row>
    <row r="195" spans="1:18" s="98" customFormat="1" ht="15" customHeight="1">
      <c r="A195" s="94">
        <v>2005</v>
      </c>
      <c r="B195" s="93" t="s">
        <v>203</v>
      </c>
      <c r="C195" s="94">
        <v>2</v>
      </c>
      <c r="D195" s="92">
        <v>39801</v>
      </c>
      <c r="E195" s="95" t="s">
        <v>176</v>
      </c>
      <c r="F195" s="96">
        <v>1172.95</v>
      </c>
      <c r="G195" s="96">
        <v>1172.95</v>
      </c>
      <c r="H195" s="96">
        <v>1172.95</v>
      </c>
      <c r="I195" s="96">
        <v>1172.95</v>
      </c>
      <c r="J195" s="96">
        <v>1172.95</v>
      </c>
      <c r="K195" s="96">
        <v>1172.95</v>
      </c>
      <c r="L195" s="96">
        <v>1172.95</v>
      </c>
      <c r="M195" s="96">
        <v>1172.95</v>
      </c>
      <c r="N195" s="96">
        <v>1172.95</v>
      </c>
      <c r="O195" s="96">
        <v>1172.95</v>
      </c>
      <c r="P195" s="96">
        <v>1172.95</v>
      </c>
      <c r="Q195" s="96">
        <v>1173.03</v>
      </c>
      <c r="R195" s="97">
        <f t="shared" si="2"/>
        <v>14075.480000000003</v>
      </c>
    </row>
    <row r="196" spans="1:18" s="98" customFormat="1" ht="15" customHeight="1">
      <c r="A196" s="94">
        <v>2005</v>
      </c>
      <c r="B196" s="93" t="s">
        <v>203</v>
      </c>
      <c r="C196" s="94">
        <v>2</v>
      </c>
      <c r="D196" s="92">
        <v>39802</v>
      </c>
      <c r="E196" s="95" t="s">
        <v>177</v>
      </c>
      <c r="F196" s="96">
        <v>1172.95</v>
      </c>
      <c r="G196" s="96">
        <v>1172.95</v>
      </c>
      <c r="H196" s="96">
        <v>1172.95</v>
      </c>
      <c r="I196" s="96">
        <v>1172.95</v>
      </c>
      <c r="J196" s="96">
        <v>1172.95</v>
      </c>
      <c r="K196" s="96">
        <v>1172.95</v>
      </c>
      <c r="L196" s="96">
        <v>1172.95</v>
      </c>
      <c r="M196" s="96">
        <v>1172.95</v>
      </c>
      <c r="N196" s="96">
        <v>1172.95</v>
      </c>
      <c r="O196" s="96">
        <v>1172.95</v>
      </c>
      <c r="P196" s="96">
        <v>1172.95</v>
      </c>
      <c r="Q196" s="96">
        <v>1173.03</v>
      </c>
      <c r="R196" s="97">
        <f t="shared" si="2"/>
        <v>14075.480000000003</v>
      </c>
    </row>
    <row r="197" spans="1:18" s="98" customFormat="1" ht="15" customHeight="1">
      <c r="A197" s="94">
        <v>2005</v>
      </c>
      <c r="B197" s="93" t="s">
        <v>203</v>
      </c>
      <c r="C197" s="94">
        <v>2</v>
      </c>
      <c r="D197" s="92">
        <v>39803</v>
      </c>
      <c r="E197" s="95" t="s">
        <v>178</v>
      </c>
      <c r="F197" s="96">
        <v>7819.71</v>
      </c>
      <c r="G197" s="96">
        <v>7819.71</v>
      </c>
      <c r="H197" s="96">
        <v>7819.71</v>
      </c>
      <c r="I197" s="96">
        <v>7819.71</v>
      </c>
      <c r="J197" s="96">
        <v>7819.71</v>
      </c>
      <c r="K197" s="96">
        <v>7819.71</v>
      </c>
      <c r="L197" s="96">
        <v>7819.71</v>
      </c>
      <c r="M197" s="96">
        <v>7819.71</v>
      </c>
      <c r="N197" s="96">
        <v>7819.71</v>
      </c>
      <c r="O197" s="96">
        <v>7819.71</v>
      </c>
      <c r="P197" s="96">
        <v>7819.71</v>
      </c>
      <c r="Q197" s="96">
        <v>7819.75</v>
      </c>
      <c r="R197" s="97">
        <f t="shared" si="2"/>
        <v>93836.560000000012</v>
      </c>
    </row>
    <row r="198" spans="1:18" s="98" customFormat="1" ht="15" customHeight="1">
      <c r="A198" s="94">
        <v>2005</v>
      </c>
      <c r="B198" s="93" t="s">
        <v>203</v>
      </c>
      <c r="C198" s="94">
        <v>2</v>
      </c>
      <c r="D198" s="92">
        <v>39804</v>
      </c>
      <c r="E198" s="95" t="s">
        <v>179</v>
      </c>
      <c r="F198" s="96">
        <v>1172.95</v>
      </c>
      <c r="G198" s="96">
        <v>1172.95</v>
      </c>
      <c r="H198" s="96">
        <v>1172.95</v>
      </c>
      <c r="I198" s="96">
        <v>1172.95</v>
      </c>
      <c r="J198" s="96">
        <v>1172.95</v>
      </c>
      <c r="K198" s="96">
        <v>1172.95</v>
      </c>
      <c r="L198" s="96">
        <v>1172.95</v>
      </c>
      <c r="M198" s="96">
        <v>1172.95</v>
      </c>
      <c r="N198" s="96">
        <v>1172.95</v>
      </c>
      <c r="O198" s="96">
        <v>1172.95</v>
      </c>
      <c r="P198" s="96">
        <v>1172.95</v>
      </c>
      <c r="Q198" s="96">
        <v>1173.03</v>
      </c>
      <c r="R198" s="97">
        <f t="shared" si="2"/>
        <v>14075.480000000003</v>
      </c>
    </row>
    <row r="199" spans="1:18" s="98" customFormat="1" ht="15" customHeight="1">
      <c r="A199" s="94">
        <v>2005</v>
      </c>
      <c r="B199" s="93" t="s">
        <v>203</v>
      </c>
      <c r="C199" s="94">
        <v>2</v>
      </c>
      <c r="D199" s="92">
        <v>51501</v>
      </c>
      <c r="E199" s="95" t="s">
        <v>200</v>
      </c>
      <c r="F199" s="96">
        <v>7000</v>
      </c>
      <c r="G199" s="96">
        <v>15000</v>
      </c>
      <c r="H199" s="96"/>
      <c r="I199" s="99"/>
      <c r="J199" s="99">
        <v>7000</v>
      </c>
      <c r="K199" s="99"/>
      <c r="L199" s="99">
        <v>7000</v>
      </c>
      <c r="M199" s="99"/>
      <c r="N199" s="99"/>
      <c r="O199" s="99">
        <v>7000</v>
      </c>
      <c r="P199" s="99"/>
      <c r="Q199" s="99"/>
      <c r="R199" s="97">
        <f t="shared" si="2"/>
        <v>43000</v>
      </c>
    </row>
    <row r="200" spans="1:18" s="98" customFormat="1" ht="15" customHeight="1">
      <c r="A200" s="94">
        <v>2005</v>
      </c>
      <c r="B200" s="93" t="s">
        <v>203</v>
      </c>
      <c r="C200" s="94">
        <v>2</v>
      </c>
      <c r="D200" s="92">
        <v>51901</v>
      </c>
      <c r="E200" s="95" t="s">
        <v>205</v>
      </c>
      <c r="F200" s="96">
        <v>10000</v>
      </c>
      <c r="G200" s="96">
        <v>35000</v>
      </c>
      <c r="H200" s="96">
        <v>0</v>
      </c>
      <c r="I200" s="99">
        <v>10000</v>
      </c>
      <c r="J200" s="99">
        <v>0</v>
      </c>
      <c r="K200" s="99">
        <v>0</v>
      </c>
      <c r="L200" s="99">
        <v>0</v>
      </c>
      <c r="M200" s="99">
        <v>0</v>
      </c>
      <c r="N200" s="99">
        <v>0</v>
      </c>
      <c r="O200" s="99">
        <v>0</v>
      </c>
      <c r="P200" s="99">
        <v>0</v>
      </c>
      <c r="Q200" s="99">
        <v>0</v>
      </c>
      <c r="R200" s="97">
        <f t="shared" si="2"/>
        <v>55000</v>
      </c>
    </row>
    <row r="201" spans="1:18" s="98" customFormat="1" ht="15" customHeight="1">
      <c r="A201" s="92">
        <v>2006</v>
      </c>
      <c r="B201" s="93" t="s">
        <v>206</v>
      </c>
      <c r="C201" s="94">
        <v>2</v>
      </c>
      <c r="D201" s="92">
        <v>11301</v>
      </c>
      <c r="E201" s="95" t="s">
        <v>128</v>
      </c>
      <c r="F201" s="96">
        <v>7450.78</v>
      </c>
      <c r="G201" s="96">
        <v>7450.78</v>
      </c>
      <c r="H201" s="96">
        <v>7450.78</v>
      </c>
      <c r="I201" s="96">
        <v>7450.78</v>
      </c>
      <c r="J201" s="96">
        <v>7450.78</v>
      </c>
      <c r="K201" s="96">
        <v>7450.78</v>
      </c>
      <c r="L201" s="96">
        <v>7450.78</v>
      </c>
      <c r="M201" s="96">
        <v>7450.78</v>
      </c>
      <c r="N201" s="96">
        <v>7450.78</v>
      </c>
      <c r="O201" s="96">
        <v>7450.78</v>
      </c>
      <c r="P201" s="96">
        <v>7450.78</v>
      </c>
      <c r="Q201" s="96">
        <v>7450.81</v>
      </c>
      <c r="R201" s="97">
        <f t="shared" ref="R201:R264" si="3">SUM(F201:Q201)</f>
        <v>89409.39</v>
      </c>
    </row>
    <row r="202" spans="1:18" s="98" customFormat="1" ht="15" customHeight="1">
      <c r="A202" s="92">
        <v>2006</v>
      </c>
      <c r="B202" s="93" t="s">
        <v>206</v>
      </c>
      <c r="C202" s="94">
        <v>2</v>
      </c>
      <c r="D202" s="92">
        <v>11302</v>
      </c>
      <c r="E202" s="95" t="s">
        <v>129</v>
      </c>
      <c r="F202" s="96">
        <v>7450.78</v>
      </c>
      <c r="G202" s="96">
        <v>7450.78</v>
      </c>
      <c r="H202" s="96">
        <v>7450.78</v>
      </c>
      <c r="I202" s="96">
        <v>7450.78</v>
      </c>
      <c r="J202" s="96">
        <v>7450.78</v>
      </c>
      <c r="K202" s="96">
        <v>7450.78</v>
      </c>
      <c r="L202" s="96">
        <v>7450.78</v>
      </c>
      <c r="M202" s="96">
        <v>7450.78</v>
      </c>
      <c r="N202" s="96">
        <v>7450.78</v>
      </c>
      <c r="O202" s="96">
        <v>7450.78</v>
      </c>
      <c r="P202" s="96">
        <v>7450.78</v>
      </c>
      <c r="Q202" s="96">
        <v>7450.81</v>
      </c>
      <c r="R202" s="97">
        <f t="shared" si="3"/>
        <v>89409.39</v>
      </c>
    </row>
    <row r="203" spans="1:18" s="98" customFormat="1" ht="15" customHeight="1">
      <c r="A203" s="92">
        <v>2006</v>
      </c>
      <c r="B203" s="93" t="s">
        <v>206</v>
      </c>
      <c r="C203" s="94">
        <v>2</v>
      </c>
      <c r="D203" s="92">
        <v>13201</v>
      </c>
      <c r="E203" s="95" t="s">
        <v>133</v>
      </c>
      <c r="F203" s="96">
        <v>269.05</v>
      </c>
      <c r="G203" s="96">
        <v>269.05</v>
      </c>
      <c r="H203" s="96">
        <v>269.05</v>
      </c>
      <c r="I203" s="96">
        <v>269.05</v>
      </c>
      <c r="J203" s="96">
        <v>269.05</v>
      </c>
      <c r="K203" s="96">
        <v>269.05</v>
      </c>
      <c r="L203" s="96">
        <v>269.05</v>
      </c>
      <c r="M203" s="96">
        <v>269.05</v>
      </c>
      <c r="N203" s="96">
        <v>269.05</v>
      </c>
      <c r="O203" s="96">
        <v>269.05</v>
      </c>
      <c r="P203" s="96">
        <v>269.05</v>
      </c>
      <c r="Q203" s="96">
        <v>269.12</v>
      </c>
      <c r="R203" s="97">
        <f t="shared" si="3"/>
        <v>3228.6700000000005</v>
      </c>
    </row>
    <row r="204" spans="1:18" s="98" customFormat="1" ht="15" customHeight="1">
      <c r="A204" s="92">
        <v>2006</v>
      </c>
      <c r="B204" s="93" t="s">
        <v>206</v>
      </c>
      <c r="C204" s="94">
        <v>2</v>
      </c>
      <c r="D204" s="92">
        <v>13203</v>
      </c>
      <c r="E204" s="95" t="s">
        <v>134</v>
      </c>
      <c r="F204" s="96">
        <v>3932.35</v>
      </c>
      <c r="G204" s="96">
        <v>3932.35</v>
      </c>
      <c r="H204" s="96">
        <v>3932.35</v>
      </c>
      <c r="I204" s="96">
        <v>3932.35</v>
      </c>
      <c r="J204" s="96">
        <v>3932.35</v>
      </c>
      <c r="K204" s="96">
        <v>3932.35</v>
      </c>
      <c r="L204" s="96">
        <v>3932.35</v>
      </c>
      <c r="M204" s="96">
        <v>3932.35</v>
      </c>
      <c r="N204" s="96">
        <v>3932.35</v>
      </c>
      <c r="O204" s="96">
        <v>3932.35</v>
      </c>
      <c r="P204" s="96">
        <v>3932.35</v>
      </c>
      <c r="Q204" s="96">
        <v>3932.44</v>
      </c>
      <c r="R204" s="97">
        <f t="shared" si="3"/>
        <v>47188.289999999994</v>
      </c>
    </row>
    <row r="205" spans="1:18" s="98" customFormat="1" ht="15" customHeight="1">
      <c r="A205" s="92">
        <v>2006</v>
      </c>
      <c r="B205" s="93" t="s">
        <v>206</v>
      </c>
      <c r="C205" s="94">
        <v>2</v>
      </c>
      <c r="D205" s="92">
        <v>14101</v>
      </c>
      <c r="E205" s="95" t="s">
        <v>136</v>
      </c>
      <c r="F205" s="96">
        <v>631.13</v>
      </c>
      <c r="G205" s="96">
        <v>631.13</v>
      </c>
      <c r="H205" s="96">
        <v>631.13</v>
      </c>
      <c r="I205" s="96">
        <v>631.13</v>
      </c>
      <c r="J205" s="96">
        <v>631.13</v>
      </c>
      <c r="K205" s="96">
        <v>631.13</v>
      </c>
      <c r="L205" s="96">
        <v>631.13</v>
      </c>
      <c r="M205" s="96">
        <v>631.13</v>
      </c>
      <c r="N205" s="96">
        <v>631.13</v>
      </c>
      <c r="O205" s="96">
        <v>631.13</v>
      </c>
      <c r="P205" s="96">
        <v>631.13</v>
      </c>
      <c r="Q205" s="96">
        <v>631.13</v>
      </c>
      <c r="R205" s="97">
        <f t="shared" si="3"/>
        <v>7573.56</v>
      </c>
    </row>
    <row r="206" spans="1:18" s="98" customFormat="1" ht="15" customHeight="1">
      <c r="A206" s="92">
        <v>2006</v>
      </c>
      <c r="B206" s="93" t="s">
        <v>206</v>
      </c>
      <c r="C206" s="94">
        <v>2</v>
      </c>
      <c r="D206" s="92">
        <v>14102</v>
      </c>
      <c r="E206" s="95" t="s">
        <v>137</v>
      </c>
      <c r="F206" s="96">
        <v>2511.61</v>
      </c>
      <c r="G206" s="96">
        <v>2511.61</v>
      </c>
      <c r="H206" s="96">
        <v>2511.61</v>
      </c>
      <c r="I206" s="96">
        <v>2511.61</v>
      </c>
      <c r="J206" s="96">
        <v>2511.61</v>
      </c>
      <c r="K206" s="96">
        <v>2511.61</v>
      </c>
      <c r="L206" s="96">
        <v>2511.61</v>
      </c>
      <c r="M206" s="96">
        <v>2511.61</v>
      </c>
      <c r="N206" s="96">
        <v>2511.61</v>
      </c>
      <c r="O206" s="96">
        <v>2511.61</v>
      </c>
      <c r="P206" s="96">
        <v>2511.61</v>
      </c>
      <c r="Q206" s="96">
        <v>2511.67</v>
      </c>
      <c r="R206" s="97">
        <f t="shared" si="3"/>
        <v>30139.380000000005</v>
      </c>
    </row>
    <row r="207" spans="1:18" s="98" customFormat="1" ht="15" customHeight="1">
      <c r="A207" s="92">
        <v>2006</v>
      </c>
      <c r="B207" s="93" t="s">
        <v>206</v>
      </c>
      <c r="C207" s="94">
        <v>2</v>
      </c>
      <c r="D207" s="92">
        <v>15201</v>
      </c>
      <c r="E207" s="95" t="s">
        <v>139</v>
      </c>
      <c r="F207" s="96">
        <v>91.52</v>
      </c>
      <c r="G207" s="96">
        <v>91.52</v>
      </c>
      <c r="H207" s="96">
        <v>91.52</v>
      </c>
      <c r="I207" s="96">
        <v>91.52</v>
      </c>
      <c r="J207" s="96">
        <v>91.52</v>
      </c>
      <c r="K207" s="96">
        <v>91.52</v>
      </c>
      <c r="L207" s="96">
        <v>91.52</v>
      </c>
      <c r="M207" s="96">
        <v>91.52</v>
      </c>
      <c r="N207" s="96">
        <v>91.52</v>
      </c>
      <c r="O207" s="96">
        <v>91.52</v>
      </c>
      <c r="P207" s="96">
        <v>91.52</v>
      </c>
      <c r="Q207" s="96">
        <v>91.52</v>
      </c>
      <c r="R207" s="97">
        <f t="shared" si="3"/>
        <v>1098.24</v>
      </c>
    </row>
    <row r="208" spans="1:18" s="98" customFormat="1" ht="15" customHeight="1">
      <c r="A208" s="92">
        <v>2006</v>
      </c>
      <c r="B208" s="93" t="s">
        <v>206</v>
      </c>
      <c r="C208" s="94">
        <v>2</v>
      </c>
      <c r="D208" s="92">
        <v>15401</v>
      </c>
      <c r="E208" s="95" t="s">
        <v>140</v>
      </c>
      <c r="F208" s="96">
        <v>372.53</v>
      </c>
      <c r="G208" s="96">
        <v>372.53</v>
      </c>
      <c r="H208" s="96">
        <v>372.53</v>
      </c>
      <c r="I208" s="96">
        <v>372.53</v>
      </c>
      <c r="J208" s="96">
        <v>372.53</v>
      </c>
      <c r="K208" s="96">
        <v>372.53</v>
      </c>
      <c r="L208" s="96">
        <v>372.53</v>
      </c>
      <c r="M208" s="96">
        <v>372.53</v>
      </c>
      <c r="N208" s="96">
        <v>372.53</v>
      </c>
      <c r="O208" s="96">
        <v>372.53</v>
      </c>
      <c r="P208" s="96">
        <v>372.53</v>
      </c>
      <c r="Q208" s="96">
        <v>372.64</v>
      </c>
      <c r="R208" s="97">
        <f t="shared" si="3"/>
        <v>4470.4699999999993</v>
      </c>
    </row>
    <row r="209" spans="1:18" s="98" customFormat="1" ht="15" customHeight="1">
      <c r="A209" s="92">
        <v>2006</v>
      </c>
      <c r="B209" s="93" t="s">
        <v>206</v>
      </c>
      <c r="C209" s="94">
        <v>2</v>
      </c>
      <c r="D209" s="92">
        <v>15404</v>
      </c>
      <c r="E209" s="95" t="s">
        <v>142</v>
      </c>
      <c r="F209" s="96">
        <v>729.78000000000009</v>
      </c>
      <c r="G209" s="96">
        <v>729.78000000000009</v>
      </c>
      <c r="H209" s="96">
        <v>729.78000000000009</v>
      </c>
      <c r="I209" s="96">
        <v>729.78000000000009</v>
      </c>
      <c r="J209" s="96">
        <v>729.78000000000009</v>
      </c>
      <c r="K209" s="96">
        <v>729.78000000000009</v>
      </c>
      <c r="L209" s="96">
        <v>729.78000000000009</v>
      </c>
      <c r="M209" s="96">
        <v>729.78000000000009</v>
      </c>
      <c r="N209" s="96">
        <v>729.78000000000009</v>
      </c>
      <c r="O209" s="96">
        <v>729.78000000000009</v>
      </c>
      <c r="P209" s="96">
        <v>729.78000000000009</v>
      </c>
      <c r="Q209" s="96">
        <v>729.78000000000009</v>
      </c>
      <c r="R209" s="97">
        <f t="shared" si="3"/>
        <v>8757.3599999999988</v>
      </c>
    </row>
    <row r="210" spans="1:18" s="98" customFormat="1" ht="15" customHeight="1">
      <c r="A210" s="92">
        <v>2006</v>
      </c>
      <c r="B210" s="93" t="s">
        <v>206</v>
      </c>
      <c r="C210" s="94">
        <v>2</v>
      </c>
      <c r="D210" s="92">
        <v>15405</v>
      </c>
      <c r="E210" s="95" t="s">
        <v>143</v>
      </c>
      <c r="F210" s="96">
        <v>316.48</v>
      </c>
      <c r="G210" s="96">
        <v>316.48</v>
      </c>
      <c r="H210" s="96">
        <v>316.48</v>
      </c>
      <c r="I210" s="96">
        <v>316.48</v>
      </c>
      <c r="J210" s="96">
        <v>316.48</v>
      </c>
      <c r="K210" s="96">
        <v>316.48</v>
      </c>
      <c r="L210" s="96">
        <v>316.48</v>
      </c>
      <c r="M210" s="96">
        <v>316.48</v>
      </c>
      <c r="N210" s="96">
        <v>316.48</v>
      </c>
      <c r="O210" s="96">
        <v>316.48</v>
      </c>
      <c r="P210" s="96">
        <v>316.48</v>
      </c>
      <c r="Q210" s="96">
        <v>316.48</v>
      </c>
      <c r="R210" s="97">
        <f t="shared" si="3"/>
        <v>3797.76</v>
      </c>
    </row>
    <row r="211" spans="1:18" s="98" customFormat="1" ht="15" customHeight="1">
      <c r="A211" s="92">
        <v>2006</v>
      </c>
      <c r="B211" s="93" t="s">
        <v>206</v>
      </c>
      <c r="C211" s="94">
        <v>2</v>
      </c>
      <c r="D211" s="92">
        <v>15407</v>
      </c>
      <c r="E211" s="95" t="s">
        <v>144</v>
      </c>
      <c r="F211" s="99">
        <v>237.3</v>
      </c>
      <c r="G211" s="99">
        <v>237.3</v>
      </c>
      <c r="H211" s="99">
        <v>237.3</v>
      </c>
      <c r="I211" s="99">
        <v>237.3</v>
      </c>
      <c r="J211" s="99">
        <v>237.3</v>
      </c>
      <c r="K211" s="99">
        <v>237.3</v>
      </c>
      <c r="L211" s="99">
        <v>237.3</v>
      </c>
      <c r="M211" s="99">
        <v>237.3</v>
      </c>
      <c r="N211" s="99">
        <v>237.3</v>
      </c>
      <c r="O211" s="99">
        <v>237.3</v>
      </c>
      <c r="P211" s="99">
        <v>237.3</v>
      </c>
      <c r="Q211" s="99">
        <v>237.3</v>
      </c>
      <c r="R211" s="97">
        <f t="shared" si="3"/>
        <v>2847.6000000000004</v>
      </c>
    </row>
    <row r="212" spans="1:18" s="98" customFormat="1" ht="15" customHeight="1">
      <c r="A212" s="92">
        <v>2006</v>
      </c>
      <c r="B212" s="93" t="s">
        <v>206</v>
      </c>
      <c r="C212" s="94">
        <v>2</v>
      </c>
      <c r="D212" s="92">
        <v>15903</v>
      </c>
      <c r="E212" s="95" t="s">
        <v>146</v>
      </c>
      <c r="F212" s="96">
        <v>0</v>
      </c>
      <c r="G212" s="96">
        <v>0</v>
      </c>
      <c r="H212" s="96">
        <v>0</v>
      </c>
      <c r="I212" s="96">
        <v>0</v>
      </c>
      <c r="J212" s="96">
        <v>0</v>
      </c>
      <c r="K212" s="96">
        <v>0</v>
      </c>
      <c r="L212" s="96">
        <v>0</v>
      </c>
      <c r="M212" s="96">
        <v>2400</v>
      </c>
      <c r="N212" s="96"/>
      <c r="O212" s="96"/>
      <c r="P212" s="96">
        <v>0</v>
      </c>
      <c r="Q212" s="96">
        <v>0</v>
      </c>
      <c r="R212" s="97">
        <f t="shared" si="3"/>
        <v>2400</v>
      </c>
    </row>
    <row r="213" spans="1:18" s="98" customFormat="1" ht="15" customHeight="1">
      <c r="A213" s="92">
        <v>2006</v>
      </c>
      <c r="B213" s="93" t="s">
        <v>206</v>
      </c>
      <c r="C213" s="94">
        <v>2</v>
      </c>
      <c r="D213" s="92">
        <v>15905</v>
      </c>
      <c r="E213" s="95" t="s">
        <v>148</v>
      </c>
      <c r="F213" s="96">
        <v>0</v>
      </c>
      <c r="G213" s="96">
        <v>0</v>
      </c>
      <c r="H213" s="96">
        <v>0</v>
      </c>
      <c r="I213" s="96">
        <v>0</v>
      </c>
      <c r="J213" s="96">
        <v>0</v>
      </c>
      <c r="K213" s="96">
        <v>1200</v>
      </c>
      <c r="L213" s="96">
        <v>0</v>
      </c>
      <c r="M213" s="96">
        <v>0</v>
      </c>
      <c r="N213" s="96">
        <v>0</v>
      </c>
      <c r="O213" s="96">
        <v>0</v>
      </c>
      <c r="P213" s="96">
        <v>0</v>
      </c>
      <c r="Q213" s="96">
        <v>0</v>
      </c>
      <c r="R213" s="97">
        <f t="shared" si="3"/>
        <v>1200</v>
      </c>
    </row>
    <row r="214" spans="1:18" s="98" customFormat="1" ht="15" customHeight="1">
      <c r="A214" s="94">
        <v>2006</v>
      </c>
      <c r="B214" s="93" t="s">
        <v>206</v>
      </c>
      <c r="C214" s="94">
        <v>2</v>
      </c>
      <c r="D214" s="94">
        <v>32604</v>
      </c>
      <c r="E214" s="93" t="s">
        <v>207</v>
      </c>
      <c r="F214" s="99">
        <v>141460</v>
      </c>
      <c r="G214" s="99">
        <v>141460</v>
      </c>
      <c r="H214" s="99">
        <v>141460</v>
      </c>
      <c r="I214" s="99">
        <v>141460</v>
      </c>
      <c r="J214" s="99">
        <v>141460</v>
      </c>
      <c r="K214" s="99">
        <v>141460</v>
      </c>
      <c r="L214" s="99">
        <v>141460</v>
      </c>
      <c r="M214" s="99">
        <v>141460</v>
      </c>
      <c r="N214" s="99">
        <v>141460</v>
      </c>
      <c r="O214" s="99">
        <v>141460</v>
      </c>
      <c r="P214" s="99">
        <v>141460</v>
      </c>
      <c r="Q214" s="99">
        <v>141460</v>
      </c>
      <c r="R214" s="97">
        <f t="shared" si="3"/>
        <v>1697520</v>
      </c>
    </row>
    <row r="215" spans="1:18" s="98" customFormat="1" ht="15" customHeight="1">
      <c r="A215" s="92">
        <v>2006</v>
      </c>
      <c r="B215" s="95" t="s">
        <v>206</v>
      </c>
      <c r="C215" s="92">
        <v>2</v>
      </c>
      <c r="D215" s="92">
        <v>39801</v>
      </c>
      <c r="E215" s="95" t="s">
        <v>176</v>
      </c>
      <c r="F215" s="96">
        <v>60.65</v>
      </c>
      <c r="G215" s="96">
        <v>60.65</v>
      </c>
      <c r="H215" s="96">
        <v>60.65</v>
      </c>
      <c r="I215" s="96">
        <v>60.65</v>
      </c>
      <c r="J215" s="96">
        <v>60.65</v>
      </c>
      <c r="K215" s="96">
        <v>60.65</v>
      </c>
      <c r="L215" s="96">
        <v>60.65</v>
      </c>
      <c r="M215" s="96">
        <v>60.65</v>
      </c>
      <c r="N215" s="96">
        <v>60.65</v>
      </c>
      <c r="O215" s="96">
        <v>60.65</v>
      </c>
      <c r="P215" s="96">
        <v>60.65</v>
      </c>
      <c r="Q215" s="96">
        <v>60.67</v>
      </c>
      <c r="R215" s="97">
        <f t="shared" si="3"/>
        <v>727.81999999999982</v>
      </c>
    </row>
    <row r="216" spans="1:18" s="98" customFormat="1" ht="15" customHeight="1">
      <c r="A216" s="92">
        <v>2006</v>
      </c>
      <c r="B216" s="95" t="s">
        <v>206</v>
      </c>
      <c r="C216" s="92">
        <v>2</v>
      </c>
      <c r="D216" s="92">
        <v>39802</v>
      </c>
      <c r="E216" s="95" t="s">
        <v>177</v>
      </c>
      <c r="F216" s="96">
        <v>60.65</v>
      </c>
      <c r="G216" s="96">
        <v>60.65</v>
      </c>
      <c r="H216" s="96">
        <v>60.65</v>
      </c>
      <c r="I216" s="96">
        <v>60.65</v>
      </c>
      <c r="J216" s="96">
        <v>60.65</v>
      </c>
      <c r="K216" s="96">
        <v>60.65</v>
      </c>
      <c r="L216" s="96">
        <v>60.65</v>
      </c>
      <c r="M216" s="96">
        <v>60.65</v>
      </c>
      <c r="N216" s="96">
        <v>60.65</v>
      </c>
      <c r="O216" s="96">
        <v>60.65</v>
      </c>
      <c r="P216" s="96">
        <v>60.65</v>
      </c>
      <c r="Q216" s="96">
        <v>60.67</v>
      </c>
      <c r="R216" s="97">
        <f t="shared" si="3"/>
        <v>727.81999999999982</v>
      </c>
    </row>
    <row r="217" spans="1:18" s="98" customFormat="1" ht="15" customHeight="1">
      <c r="A217" s="92">
        <v>2006</v>
      </c>
      <c r="B217" s="95" t="s">
        <v>206</v>
      </c>
      <c r="C217" s="92">
        <v>2</v>
      </c>
      <c r="D217" s="92">
        <v>39803</v>
      </c>
      <c r="E217" s="95" t="s">
        <v>178</v>
      </c>
      <c r="F217" s="96">
        <v>404.34</v>
      </c>
      <c r="G217" s="96">
        <v>404.34</v>
      </c>
      <c r="H217" s="96">
        <v>404.34</v>
      </c>
      <c r="I217" s="96">
        <v>404.34</v>
      </c>
      <c r="J217" s="96">
        <v>404.34</v>
      </c>
      <c r="K217" s="96">
        <v>404.34</v>
      </c>
      <c r="L217" s="96">
        <v>404.34</v>
      </c>
      <c r="M217" s="96">
        <v>404.34</v>
      </c>
      <c r="N217" s="96">
        <v>404.34</v>
      </c>
      <c r="O217" s="96">
        <v>404.34</v>
      </c>
      <c r="P217" s="96">
        <v>404.34</v>
      </c>
      <c r="Q217" s="96">
        <v>404.38</v>
      </c>
      <c r="R217" s="97">
        <f t="shared" si="3"/>
        <v>4852.1200000000008</v>
      </c>
    </row>
    <row r="218" spans="1:18" s="98" customFormat="1" ht="15" customHeight="1">
      <c r="A218" s="92">
        <v>2006</v>
      </c>
      <c r="B218" s="95" t="s">
        <v>206</v>
      </c>
      <c r="C218" s="92">
        <v>2</v>
      </c>
      <c r="D218" s="92">
        <v>39804</v>
      </c>
      <c r="E218" s="95" t="s">
        <v>179</v>
      </c>
      <c r="F218" s="96">
        <v>60.65</v>
      </c>
      <c r="G218" s="96">
        <v>60.65</v>
      </c>
      <c r="H218" s="96">
        <v>60.65</v>
      </c>
      <c r="I218" s="96">
        <v>60.65</v>
      </c>
      <c r="J218" s="96">
        <v>60.65</v>
      </c>
      <c r="K218" s="96">
        <v>60.65</v>
      </c>
      <c r="L218" s="96">
        <v>60.65</v>
      </c>
      <c r="M218" s="96">
        <v>60.65</v>
      </c>
      <c r="N218" s="96">
        <v>60.65</v>
      </c>
      <c r="O218" s="96">
        <v>60.65</v>
      </c>
      <c r="P218" s="96">
        <v>60.65</v>
      </c>
      <c r="Q218" s="96">
        <v>60.67</v>
      </c>
      <c r="R218" s="97">
        <f t="shared" si="3"/>
        <v>727.81999999999982</v>
      </c>
    </row>
    <row r="219" spans="1:18" s="98" customFormat="1" ht="15" customHeight="1">
      <c r="A219" s="92">
        <v>2008</v>
      </c>
      <c r="B219" s="93" t="s">
        <v>208</v>
      </c>
      <c r="C219" s="94">
        <v>2</v>
      </c>
      <c r="D219" s="92">
        <v>11304</v>
      </c>
      <c r="E219" s="95" t="s">
        <v>131</v>
      </c>
      <c r="F219" s="96">
        <v>44405.84</v>
      </c>
      <c r="G219" s="96">
        <v>44405.84</v>
      </c>
      <c r="H219" s="96">
        <v>44405.84</v>
      </c>
      <c r="I219" s="96">
        <v>44405.84</v>
      </c>
      <c r="J219" s="96">
        <v>44405.84</v>
      </c>
      <c r="K219" s="96">
        <v>44405.84</v>
      </c>
      <c r="L219" s="96">
        <v>44405.84</v>
      </c>
      <c r="M219" s="96">
        <v>44405.84</v>
      </c>
      <c r="N219" s="96">
        <v>44405.84</v>
      </c>
      <c r="O219" s="96">
        <v>44405.84</v>
      </c>
      <c r="P219" s="96">
        <v>44405.84</v>
      </c>
      <c r="Q219" s="96">
        <v>44405.84</v>
      </c>
      <c r="R219" s="97">
        <f t="shared" si="3"/>
        <v>532870.07999999984</v>
      </c>
    </row>
    <row r="220" spans="1:18" s="98" customFormat="1" ht="15" customHeight="1">
      <c r="A220" s="92">
        <v>2008</v>
      </c>
      <c r="B220" s="93" t="s">
        <v>208</v>
      </c>
      <c r="C220" s="94">
        <v>2</v>
      </c>
      <c r="D220" s="92">
        <v>13201</v>
      </c>
      <c r="E220" s="95" t="s">
        <v>133</v>
      </c>
      <c r="F220" s="96">
        <v>801.77</v>
      </c>
      <c r="G220" s="96">
        <v>801.77</v>
      </c>
      <c r="H220" s="96">
        <v>801.77</v>
      </c>
      <c r="I220" s="96">
        <v>801.77</v>
      </c>
      <c r="J220" s="96">
        <v>801.77</v>
      </c>
      <c r="K220" s="96">
        <v>801.77</v>
      </c>
      <c r="L220" s="96">
        <v>801.77</v>
      </c>
      <c r="M220" s="96">
        <v>801.77</v>
      </c>
      <c r="N220" s="96">
        <v>801.77</v>
      </c>
      <c r="O220" s="96">
        <v>801.77</v>
      </c>
      <c r="P220" s="96">
        <v>801.77</v>
      </c>
      <c r="Q220" s="96">
        <v>801.8</v>
      </c>
      <c r="R220" s="97">
        <f t="shared" si="3"/>
        <v>9621.27</v>
      </c>
    </row>
    <row r="221" spans="1:18" s="98" customFormat="1" ht="15" customHeight="1">
      <c r="A221" s="92">
        <v>2008</v>
      </c>
      <c r="B221" s="93" t="s">
        <v>208</v>
      </c>
      <c r="C221" s="94">
        <v>2</v>
      </c>
      <c r="D221" s="92">
        <v>13203</v>
      </c>
      <c r="E221" s="95" t="s">
        <v>134</v>
      </c>
      <c r="F221" s="96">
        <v>6784.23</v>
      </c>
      <c r="G221" s="96">
        <v>6784.23</v>
      </c>
      <c r="H221" s="96">
        <v>6784.23</v>
      </c>
      <c r="I221" s="96">
        <v>6784.23</v>
      </c>
      <c r="J221" s="96">
        <v>6784.23</v>
      </c>
      <c r="K221" s="96">
        <v>6784.23</v>
      </c>
      <c r="L221" s="96">
        <v>6784.23</v>
      </c>
      <c r="M221" s="96">
        <v>6784.23</v>
      </c>
      <c r="N221" s="96">
        <v>6784.23</v>
      </c>
      <c r="O221" s="96">
        <v>6784.23</v>
      </c>
      <c r="P221" s="96">
        <v>6784.23</v>
      </c>
      <c r="Q221" s="96">
        <v>6784.18</v>
      </c>
      <c r="R221" s="97">
        <f t="shared" si="3"/>
        <v>81410.709999999963</v>
      </c>
    </row>
    <row r="222" spans="1:18" s="98" customFormat="1" ht="15" customHeight="1">
      <c r="A222" s="92">
        <v>2008</v>
      </c>
      <c r="B222" s="93" t="s">
        <v>208</v>
      </c>
      <c r="C222" s="94">
        <v>2</v>
      </c>
      <c r="D222" s="92">
        <v>13401</v>
      </c>
      <c r="E222" s="95" t="s">
        <v>135</v>
      </c>
      <c r="F222" s="96">
        <v>6567.12</v>
      </c>
      <c r="G222" s="96">
        <v>6567.12</v>
      </c>
      <c r="H222" s="96">
        <v>6567.12</v>
      </c>
      <c r="I222" s="96">
        <v>6567.12</v>
      </c>
      <c r="J222" s="96">
        <v>6567.12</v>
      </c>
      <c r="K222" s="96">
        <v>6567.12</v>
      </c>
      <c r="L222" s="96">
        <v>6567.12</v>
      </c>
      <c r="M222" s="96">
        <v>6567.12</v>
      </c>
      <c r="N222" s="96">
        <v>6567.12</v>
      </c>
      <c r="O222" s="96">
        <v>6567.12</v>
      </c>
      <c r="P222" s="96">
        <v>6567.12</v>
      </c>
      <c r="Q222" s="96">
        <v>6567.12</v>
      </c>
      <c r="R222" s="97">
        <f t="shared" si="3"/>
        <v>78805.440000000002</v>
      </c>
    </row>
    <row r="223" spans="1:18" s="98" customFormat="1" ht="15" customHeight="1">
      <c r="A223" s="92">
        <v>2008</v>
      </c>
      <c r="B223" s="93" t="s">
        <v>208</v>
      </c>
      <c r="C223" s="94">
        <v>2</v>
      </c>
      <c r="D223" s="92">
        <v>14101</v>
      </c>
      <c r="E223" s="95" t="s">
        <v>136</v>
      </c>
      <c r="F223" s="96">
        <v>1384.52</v>
      </c>
      <c r="G223" s="96">
        <v>1384.52</v>
      </c>
      <c r="H223" s="96">
        <v>1384.52</v>
      </c>
      <c r="I223" s="96">
        <v>1384.52</v>
      </c>
      <c r="J223" s="96">
        <v>1384.52</v>
      </c>
      <c r="K223" s="96">
        <v>1384.52</v>
      </c>
      <c r="L223" s="96">
        <v>1384.52</v>
      </c>
      <c r="M223" s="96">
        <v>1384.52</v>
      </c>
      <c r="N223" s="96">
        <v>1384.52</v>
      </c>
      <c r="O223" s="96">
        <v>1384.52</v>
      </c>
      <c r="P223" s="96">
        <v>1384.52</v>
      </c>
      <c r="Q223" s="96">
        <v>1384.63</v>
      </c>
      <c r="R223" s="97">
        <f t="shared" si="3"/>
        <v>16614.350000000002</v>
      </c>
    </row>
    <row r="224" spans="1:18" s="98" customFormat="1" ht="15" customHeight="1">
      <c r="A224" s="92">
        <v>2008</v>
      </c>
      <c r="B224" s="93" t="s">
        <v>208</v>
      </c>
      <c r="C224" s="94">
        <v>2</v>
      </c>
      <c r="D224" s="92">
        <v>14102</v>
      </c>
      <c r="E224" s="95" t="s">
        <v>137</v>
      </c>
      <c r="F224" s="96">
        <v>5509.78</v>
      </c>
      <c r="G224" s="96">
        <v>5509.78</v>
      </c>
      <c r="H224" s="96">
        <v>5509.78</v>
      </c>
      <c r="I224" s="96">
        <v>5509.78</v>
      </c>
      <c r="J224" s="96">
        <v>5509.78</v>
      </c>
      <c r="K224" s="96">
        <v>5509.78</v>
      </c>
      <c r="L224" s="96">
        <v>5509.78</v>
      </c>
      <c r="M224" s="96">
        <v>5509.78</v>
      </c>
      <c r="N224" s="96">
        <v>5509.78</v>
      </c>
      <c r="O224" s="96">
        <v>5509.78</v>
      </c>
      <c r="P224" s="96">
        <v>5509.78</v>
      </c>
      <c r="Q224" s="96">
        <v>5509.83</v>
      </c>
      <c r="R224" s="97">
        <f t="shared" si="3"/>
        <v>66117.409999999989</v>
      </c>
    </row>
    <row r="225" spans="1:18" s="98" customFormat="1" ht="15" customHeight="1">
      <c r="A225" s="92">
        <v>2008</v>
      </c>
      <c r="B225" s="93" t="s">
        <v>208</v>
      </c>
      <c r="C225" s="94">
        <v>2</v>
      </c>
      <c r="D225" s="92">
        <v>14103</v>
      </c>
      <c r="E225" s="95" t="s">
        <v>138</v>
      </c>
      <c r="F225" s="96">
        <v>627.79</v>
      </c>
      <c r="G225" s="96">
        <v>627.79</v>
      </c>
      <c r="H225" s="96">
        <v>627.79</v>
      </c>
      <c r="I225" s="96">
        <v>627.79</v>
      </c>
      <c r="J225" s="96">
        <v>627.79</v>
      </c>
      <c r="K225" s="96">
        <v>627.79</v>
      </c>
      <c r="L225" s="96">
        <v>627.79</v>
      </c>
      <c r="M225" s="96">
        <v>627.79</v>
      </c>
      <c r="N225" s="96">
        <v>627.79</v>
      </c>
      <c r="O225" s="96">
        <v>627.79</v>
      </c>
      <c r="P225" s="96">
        <v>627.79</v>
      </c>
      <c r="Q225" s="96">
        <v>627.85</v>
      </c>
      <c r="R225" s="97">
        <f t="shared" si="3"/>
        <v>7533.54</v>
      </c>
    </row>
    <row r="226" spans="1:18" s="98" customFormat="1" ht="15" customHeight="1">
      <c r="A226" s="92">
        <v>2008</v>
      </c>
      <c r="B226" s="93" t="s">
        <v>208</v>
      </c>
      <c r="C226" s="94">
        <v>2</v>
      </c>
      <c r="D226" s="92">
        <v>15201</v>
      </c>
      <c r="E226" s="95" t="s">
        <v>139</v>
      </c>
      <c r="F226" s="96">
        <v>366.08</v>
      </c>
      <c r="G226" s="96">
        <v>366.08</v>
      </c>
      <c r="H226" s="96">
        <v>366.08</v>
      </c>
      <c r="I226" s="96">
        <v>366.08</v>
      </c>
      <c r="J226" s="96">
        <v>366.08</v>
      </c>
      <c r="K226" s="96">
        <v>366.08</v>
      </c>
      <c r="L226" s="96">
        <v>366.08</v>
      </c>
      <c r="M226" s="96">
        <v>366.08</v>
      </c>
      <c r="N226" s="96">
        <v>366.08</v>
      </c>
      <c r="O226" s="96">
        <v>366.08</v>
      </c>
      <c r="P226" s="96">
        <v>366.08</v>
      </c>
      <c r="Q226" s="96">
        <v>366.08</v>
      </c>
      <c r="R226" s="97">
        <f t="shared" si="3"/>
        <v>4392.96</v>
      </c>
    </row>
    <row r="227" spans="1:18" s="98" customFormat="1" ht="15" customHeight="1">
      <c r="A227" s="92">
        <v>2008</v>
      </c>
      <c r="B227" s="93" t="s">
        <v>208</v>
      </c>
      <c r="C227" s="94">
        <v>2</v>
      </c>
      <c r="D227" s="92">
        <v>15404</v>
      </c>
      <c r="E227" s="95" t="s">
        <v>142</v>
      </c>
      <c r="F227" s="96">
        <v>2575.66</v>
      </c>
      <c r="G227" s="96">
        <v>2575.66</v>
      </c>
      <c r="H227" s="96">
        <v>2575.66</v>
      </c>
      <c r="I227" s="96">
        <v>2575.66</v>
      </c>
      <c r="J227" s="96">
        <v>2575.66</v>
      </c>
      <c r="K227" s="96">
        <v>2575.66</v>
      </c>
      <c r="L227" s="96">
        <v>2575.66</v>
      </c>
      <c r="M227" s="96">
        <v>2575.66</v>
      </c>
      <c r="N227" s="96">
        <v>2575.66</v>
      </c>
      <c r="O227" s="96">
        <v>2575.66</v>
      </c>
      <c r="P227" s="96">
        <v>2575.66</v>
      </c>
      <c r="Q227" s="96">
        <v>2575.7600000000002</v>
      </c>
      <c r="R227" s="97">
        <f t="shared" si="3"/>
        <v>30908.019999999997</v>
      </c>
    </row>
    <row r="228" spans="1:18" s="98" customFormat="1" ht="15" customHeight="1">
      <c r="A228" s="92">
        <v>2008</v>
      </c>
      <c r="B228" s="93" t="s">
        <v>208</v>
      </c>
      <c r="C228" s="94">
        <v>2</v>
      </c>
      <c r="D228" s="92">
        <v>15405</v>
      </c>
      <c r="E228" s="95" t="s">
        <v>143</v>
      </c>
      <c r="F228" s="96">
        <v>346.11999999999995</v>
      </c>
      <c r="G228" s="96">
        <v>346.11999999999995</v>
      </c>
      <c r="H228" s="96">
        <v>346.11999999999995</v>
      </c>
      <c r="I228" s="96">
        <v>346.11999999999995</v>
      </c>
      <c r="J228" s="96">
        <v>346.11999999999995</v>
      </c>
      <c r="K228" s="96">
        <v>346.11999999999995</v>
      </c>
      <c r="L228" s="96">
        <v>346.11999999999995</v>
      </c>
      <c r="M228" s="96">
        <v>346.11999999999995</v>
      </c>
      <c r="N228" s="96">
        <v>346.11999999999995</v>
      </c>
      <c r="O228" s="96">
        <v>346.11999999999995</v>
      </c>
      <c r="P228" s="96">
        <v>346.11999999999995</v>
      </c>
      <c r="Q228" s="96">
        <v>346.11999999999995</v>
      </c>
      <c r="R228" s="97">
        <f t="shared" si="3"/>
        <v>4153.4399999999996</v>
      </c>
    </row>
    <row r="229" spans="1:18" s="98" customFormat="1" ht="15" customHeight="1">
      <c r="A229" s="92">
        <v>2008</v>
      </c>
      <c r="B229" s="93" t="s">
        <v>208</v>
      </c>
      <c r="C229" s="94">
        <v>2</v>
      </c>
      <c r="D229" s="92">
        <v>15407</v>
      </c>
      <c r="E229" s="95" t="s">
        <v>144</v>
      </c>
      <c r="F229" s="99">
        <v>237.29999999999998</v>
      </c>
      <c r="G229" s="99">
        <v>237.29999999999998</v>
      </c>
      <c r="H229" s="99">
        <v>237.29999999999998</v>
      </c>
      <c r="I229" s="99">
        <v>237.29999999999998</v>
      </c>
      <c r="J229" s="99">
        <v>237.29999999999998</v>
      </c>
      <c r="K229" s="99">
        <v>237.29999999999998</v>
      </c>
      <c r="L229" s="99">
        <v>237.29999999999998</v>
      </c>
      <c r="M229" s="99">
        <v>237.29999999999998</v>
      </c>
      <c r="N229" s="99">
        <v>237.29999999999998</v>
      </c>
      <c r="O229" s="99">
        <v>237.29999999999998</v>
      </c>
      <c r="P229" s="99">
        <v>237.29999999999998</v>
      </c>
      <c r="Q229" s="99">
        <v>237.29999999999998</v>
      </c>
      <c r="R229" s="97">
        <f t="shared" si="3"/>
        <v>2847.6000000000004</v>
      </c>
    </row>
    <row r="230" spans="1:18" s="98" customFormat="1" ht="15" customHeight="1">
      <c r="A230" s="92">
        <v>2008</v>
      </c>
      <c r="B230" s="93" t="s">
        <v>208</v>
      </c>
      <c r="C230" s="94">
        <v>2</v>
      </c>
      <c r="D230" s="92">
        <v>15903</v>
      </c>
      <c r="E230" s="95" t="s">
        <v>146</v>
      </c>
      <c r="F230" s="96">
        <v>0</v>
      </c>
      <c r="G230" s="96">
        <v>0</v>
      </c>
      <c r="H230" s="96">
        <v>0</v>
      </c>
      <c r="I230" s="96">
        <v>0</v>
      </c>
      <c r="J230" s="96">
        <v>0</v>
      </c>
      <c r="K230" s="96">
        <v>0</v>
      </c>
      <c r="L230" s="96">
        <v>0</v>
      </c>
      <c r="M230" s="96">
        <v>12000</v>
      </c>
      <c r="N230" s="96"/>
      <c r="O230" s="96"/>
      <c r="P230" s="96">
        <v>0</v>
      </c>
      <c r="Q230" s="96">
        <v>0</v>
      </c>
      <c r="R230" s="97">
        <f t="shared" si="3"/>
        <v>12000</v>
      </c>
    </row>
    <row r="231" spans="1:18" s="98" customFormat="1" ht="15" customHeight="1">
      <c r="A231" s="92">
        <v>2008</v>
      </c>
      <c r="B231" s="93" t="s">
        <v>208</v>
      </c>
      <c r="C231" s="94">
        <v>2</v>
      </c>
      <c r="D231" s="92">
        <v>15904</v>
      </c>
      <c r="E231" s="95" t="s">
        <v>147</v>
      </c>
      <c r="F231" s="96">
        <v>0</v>
      </c>
      <c r="G231" s="96">
        <v>0</v>
      </c>
      <c r="H231" s="96">
        <v>0</v>
      </c>
      <c r="I231" s="96">
        <v>0</v>
      </c>
      <c r="J231" s="96">
        <v>16800</v>
      </c>
      <c r="K231" s="96">
        <v>0</v>
      </c>
      <c r="L231" s="96">
        <v>0</v>
      </c>
      <c r="M231" s="96">
        <v>0</v>
      </c>
      <c r="N231" s="96">
        <v>0</v>
      </c>
      <c r="O231" s="96">
        <v>0</v>
      </c>
      <c r="P231" s="96">
        <v>0</v>
      </c>
      <c r="Q231" s="96">
        <v>0</v>
      </c>
      <c r="R231" s="97">
        <f t="shared" si="3"/>
        <v>16800</v>
      </c>
    </row>
    <row r="232" spans="1:18" s="98" customFormat="1" ht="15" customHeight="1">
      <c r="A232" s="94">
        <v>2008</v>
      </c>
      <c r="B232" s="93" t="s">
        <v>208</v>
      </c>
      <c r="C232" s="94">
        <v>2</v>
      </c>
      <c r="D232" s="94">
        <v>21101</v>
      </c>
      <c r="E232" s="93" t="s">
        <v>150</v>
      </c>
      <c r="F232" s="99">
        <v>1000</v>
      </c>
      <c r="G232" s="99">
        <v>1000</v>
      </c>
      <c r="H232" s="99">
        <v>1000</v>
      </c>
      <c r="I232" s="99">
        <v>1000</v>
      </c>
      <c r="J232" s="99">
        <v>1000</v>
      </c>
      <c r="K232" s="99">
        <v>1000</v>
      </c>
      <c r="L232" s="99">
        <v>2000</v>
      </c>
      <c r="M232" s="99">
        <v>1000</v>
      </c>
      <c r="N232" s="99">
        <v>1000</v>
      </c>
      <c r="O232" s="99">
        <v>1000</v>
      </c>
      <c r="P232" s="99">
        <v>1000</v>
      </c>
      <c r="Q232" s="99">
        <v>1000</v>
      </c>
      <c r="R232" s="97">
        <f t="shared" si="3"/>
        <v>13000</v>
      </c>
    </row>
    <row r="233" spans="1:18" s="98" customFormat="1" ht="15" customHeight="1">
      <c r="A233" s="94">
        <v>2008</v>
      </c>
      <c r="B233" s="93" t="s">
        <v>208</v>
      </c>
      <c r="C233" s="94">
        <v>2</v>
      </c>
      <c r="D233" s="94">
        <v>21401</v>
      </c>
      <c r="E233" s="93" t="s">
        <v>151</v>
      </c>
      <c r="F233" s="99">
        <v>1000</v>
      </c>
      <c r="G233" s="99">
        <v>1000</v>
      </c>
      <c r="H233" s="99">
        <v>1000</v>
      </c>
      <c r="I233" s="99">
        <v>1000</v>
      </c>
      <c r="J233" s="99">
        <v>1000</v>
      </c>
      <c r="K233" s="99">
        <v>1000</v>
      </c>
      <c r="L233" s="99">
        <v>2000</v>
      </c>
      <c r="M233" s="99">
        <v>1000</v>
      </c>
      <c r="N233" s="99">
        <v>1000</v>
      </c>
      <c r="O233" s="99">
        <v>1000</v>
      </c>
      <c r="P233" s="99">
        <v>1000</v>
      </c>
      <c r="Q233" s="99">
        <v>1000</v>
      </c>
      <c r="R233" s="97">
        <f t="shared" si="3"/>
        <v>13000</v>
      </c>
    </row>
    <row r="234" spans="1:18" s="98" customFormat="1" ht="15" customHeight="1">
      <c r="A234" s="94">
        <v>2008</v>
      </c>
      <c r="B234" s="93" t="s">
        <v>208</v>
      </c>
      <c r="C234" s="94">
        <v>2</v>
      </c>
      <c r="D234" s="94">
        <v>27101</v>
      </c>
      <c r="E234" s="93" t="s">
        <v>195</v>
      </c>
      <c r="F234" s="99"/>
      <c r="G234" s="99">
        <v>5000</v>
      </c>
      <c r="H234" s="99"/>
      <c r="I234" s="99"/>
      <c r="J234" s="99"/>
      <c r="K234" s="99"/>
      <c r="L234" s="99"/>
      <c r="M234" s="99"/>
      <c r="N234" s="99"/>
      <c r="O234" s="99"/>
      <c r="P234" s="99"/>
      <c r="Q234" s="99"/>
      <c r="R234" s="97">
        <f t="shared" si="3"/>
        <v>5000</v>
      </c>
    </row>
    <row r="235" spans="1:18" s="98" customFormat="1" ht="15" customHeight="1">
      <c r="A235" s="94">
        <v>2008</v>
      </c>
      <c r="B235" s="93" t="s">
        <v>208</v>
      </c>
      <c r="C235" s="94">
        <v>2</v>
      </c>
      <c r="D235" s="94">
        <v>31101</v>
      </c>
      <c r="E235" s="93" t="s">
        <v>157</v>
      </c>
      <c r="F235" s="99">
        <v>490</v>
      </c>
      <c r="G235" s="99">
        <v>490</v>
      </c>
      <c r="H235" s="99">
        <v>490</v>
      </c>
      <c r="I235" s="99">
        <v>490</v>
      </c>
      <c r="J235" s="99">
        <v>490</v>
      </c>
      <c r="K235" s="99">
        <v>490</v>
      </c>
      <c r="L235" s="99">
        <v>490</v>
      </c>
      <c r="M235" s="99">
        <v>490</v>
      </c>
      <c r="N235" s="99">
        <v>490</v>
      </c>
      <c r="O235" s="99">
        <v>490</v>
      </c>
      <c r="P235" s="99">
        <v>490</v>
      </c>
      <c r="Q235" s="99">
        <v>490</v>
      </c>
      <c r="R235" s="97">
        <f t="shared" si="3"/>
        <v>5880</v>
      </c>
    </row>
    <row r="236" spans="1:18" s="98" customFormat="1" ht="15" customHeight="1">
      <c r="A236" s="94">
        <v>2008</v>
      </c>
      <c r="B236" s="93" t="s">
        <v>208</v>
      </c>
      <c r="C236" s="94">
        <v>2</v>
      </c>
      <c r="D236" s="94">
        <v>37201</v>
      </c>
      <c r="E236" s="93" t="s">
        <v>164</v>
      </c>
      <c r="F236" s="99"/>
      <c r="G236" s="99">
        <v>100</v>
      </c>
      <c r="H236" s="99">
        <v>100</v>
      </c>
      <c r="I236" s="99">
        <v>100</v>
      </c>
      <c r="J236" s="99">
        <v>100</v>
      </c>
      <c r="K236" s="99">
        <v>100</v>
      </c>
      <c r="L236" s="99">
        <v>100</v>
      </c>
      <c r="M236" s="99">
        <v>100</v>
      </c>
      <c r="N236" s="99">
        <v>100</v>
      </c>
      <c r="O236" s="99">
        <v>100</v>
      </c>
      <c r="P236" s="99"/>
      <c r="Q236" s="99">
        <v>100</v>
      </c>
      <c r="R236" s="97">
        <f t="shared" si="3"/>
        <v>1000</v>
      </c>
    </row>
    <row r="237" spans="1:18" s="98" customFormat="1" ht="15" customHeight="1">
      <c r="A237" s="94">
        <v>2008</v>
      </c>
      <c r="B237" s="93" t="s">
        <v>208</v>
      </c>
      <c r="C237" s="94">
        <v>2</v>
      </c>
      <c r="D237" s="94">
        <v>37502</v>
      </c>
      <c r="E237" s="93" t="s">
        <v>169</v>
      </c>
      <c r="F237" s="99"/>
      <c r="G237" s="99">
        <v>1000</v>
      </c>
      <c r="H237" s="99"/>
      <c r="I237" s="99">
        <v>1000</v>
      </c>
      <c r="J237" s="99"/>
      <c r="K237" s="99"/>
      <c r="L237" s="99">
        <v>1000</v>
      </c>
      <c r="M237" s="99"/>
      <c r="N237" s="99"/>
      <c r="O237" s="99">
        <v>1000</v>
      </c>
      <c r="P237" s="99"/>
      <c r="Q237" s="99"/>
      <c r="R237" s="97">
        <f t="shared" si="3"/>
        <v>4000</v>
      </c>
    </row>
    <row r="238" spans="1:18" s="98" customFormat="1" ht="15" customHeight="1">
      <c r="A238" s="94">
        <v>2008</v>
      </c>
      <c r="B238" s="93" t="s">
        <v>208</v>
      </c>
      <c r="C238" s="94">
        <v>2</v>
      </c>
      <c r="D238" s="92">
        <v>39801</v>
      </c>
      <c r="E238" s="95" t="s">
        <v>176</v>
      </c>
      <c r="F238" s="96">
        <v>313.95999999999998</v>
      </c>
      <c r="G238" s="96">
        <v>313.95999999999998</v>
      </c>
      <c r="H238" s="96">
        <v>313.95999999999998</v>
      </c>
      <c r="I238" s="96">
        <v>313.95999999999998</v>
      </c>
      <c r="J238" s="96">
        <v>313.95999999999998</v>
      </c>
      <c r="K238" s="96">
        <v>313.95999999999998</v>
      </c>
      <c r="L238" s="96">
        <v>313.95999999999998</v>
      </c>
      <c r="M238" s="96">
        <v>313.95999999999998</v>
      </c>
      <c r="N238" s="96">
        <v>313.95999999999998</v>
      </c>
      <c r="O238" s="96">
        <v>313.95999999999998</v>
      </c>
      <c r="P238" s="96">
        <v>313.95999999999998</v>
      </c>
      <c r="Q238" s="96">
        <v>314.02</v>
      </c>
      <c r="R238" s="97">
        <f t="shared" si="3"/>
        <v>3767.58</v>
      </c>
    </row>
    <row r="239" spans="1:18" s="98" customFormat="1" ht="15" customHeight="1">
      <c r="A239" s="94">
        <v>2008</v>
      </c>
      <c r="B239" s="93" t="s">
        <v>208</v>
      </c>
      <c r="C239" s="94">
        <v>2</v>
      </c>
      <c r="D239" s="92">
        <v>39802</v>
      </c>
      <c r="E239" s="95" t="s">
        <v>177</v>
      </c>
      <c r="F239" s="96">
        <v>313.95999999999998</v>
      </c>
      <c r="G239" s="96">
        <v>313.95999999999998</v>
      </c>
      <c r="H239" s="96">
        <v>313.95999999999998</v>
      </c>
      <c r="I239" s="96">
        <v>313.95999999999998</v>
      </c>
      <c r="J239" s="96">
        <v>313.95999999999998</v>
      </c>
      <c r="K239" s="96">
        <v>313.95999999999998</v>
      </c>
      <c r="L239" s="96">
        <v>313.95999999999998</v>
      </c>
      <c r="M239" s="96">
        <v>313.95999999999998</v>
      </c>
      <c r="N239" s="96">
        <v>313.95999999999998</v>
      </c>
      <c r="O239" s="96">
        <v>313.95999999999998</v>
      </c>
      <c r="P239" s="96">
        <v>313.95999999999998</v>
      </c>
      <c r="Q239" s="96">
        <v>314.02</v>
      </c>
      <c r="R239" s="97">
        <f t="shared" si="3"/>
        <v>3767.58</v>
      </c>
    </row>
    <row r="240" spans="1:18" s="98" customFormat="1" ht="15" customHeight="1">
      <c r="A240" s="94">
        <v>2008</v>
      </c>
      <c r="B240" s="93" t="s">
        <v>208</v>
      </c>
      <c r="C240" s="94">
        <v>2</v>
      </c>
      <c r="D240" s="92">
        <v>39803</v>
      </c>
      <c r="E240" s="95" t="s">
        <v>178</v>
      </c>
      <c r="F240" s="96">
        <v>2093.09</v>
      </c>
      <c r="G240" s="96">
        <v>2093.09</v>
      </c>
      <c r="H240" s="96">
        <v>2093.09</v>
      </c>
      <c r="I240" s="96">
        <v>2093.09</v>
      </c>
      <c r="J240" s="96">
        <v>2093.09</v>
      </c>
      <c r="K240" s="96">
        <v>2093.09</v>
      </c>
      <c r="L240" s="96">
        <v>2093.09</v>
      </c>
      <c r="M240" s="96">
        <v>2093.09</v>
      </c>
      <c r="N240" s="96">
        <v>2093.09</v>
      </c>
      <c r="O240" s="96">
        <v>2093.09</v>
      </c>
      <c r="P240" s="96">
        <v>2093.09</v>
      </c>
      <c r="Q240" s="96">
        <v>2093.1999999999998</v>
      </c>
      <c r="R240" s="97">
        <f t="shared" si="3"/>
        <v>25117.190000000002</v>
      </c>
    </row>
    <row r="241" spans="1:18" s="98" customFormat="1" ht="15" customHeight="1">
      <c r="A241" s="94">
        <v>2008</v>
      </c>
      <c r="B241" s="93" t="s">
        <v>208</v>
      </c>
      <c r="C241" s="94">
        <v>2</v>
      </c>
      <c r="D241" s="92">
        <v>39804</v>
      </c>
      <c r="E241" s="95" t="s">
        <v>179</v>
      </c>
      <c r="F241" s="96">
        <v>313.95999999999998</v>
      </c>
      <c r="G241" s="96">
        <v>313.95999999999998</v>
      </c>
      <c r="H241" s="96">
        <v>313.95999999999998</v>
      </c>
      <c r="I241" s="96">
        <v>313.95999999999998</v>
      </c>
      <c r="J241" s="96">
        <v>313.95999999999998</v>
      </c>
      <c r="K241" s="96">
        <v>313.95999999999998</v>
      </c>
      <c r="L241" s="96">
        <v>313.95999999999998</v>
      </c>
      <c r="M241" s="96">
        <v>313.95999999999998</v>
      </c>
      <c r="N241" s="96">
        <v>313.95999999999998</v>
      </c>
      <c r="O241" s="96">
        <v>313.95999999999998</v>
      </c>
      <c r="P241" s="96">
        <v>313.95999999999998</v>
      </c>
      <c r="Q241" s="96">
        <v>314.02</v>
      </c>
      <c r="R241" s="97">
        <f t="shared" si="3"/>
        <v>3767.58</v>
      </c>
    </row>
    <row r="242" spans="1:18" s="98" customFormat="1" ht="15" customHeight="1">
      <c r="A242" s="94">
        <v>2008</v>
      </c>
      <c r="B242" s="93" t="s">
        <v>208</v>
      </c>
      <c r="C242" s="94">
        <v>2</v>
      </c>
      <c r="D242" s="102">
        <v>51101</v>
      </c>
      <c r="E242" s="104" t="s">
        <v>181</v>
      </c>
      <c r="F242" s="96"/>
      <c r="G242" s="96">
        <v>8000</v>
      </c>
      <c r="H242" s="96"/>
      <c r="I242" s="99"/>
      <c r="J242" s="99"/>
      <c r="K242" s="99"/>
      <c r="L242" s="99"/>
      <c r="M242" s="99"/>
      <c r="N242" s="99"/>
      <c r="O242" s="99"/>
      <c r="P242" s="99"/>
      <c r="Q242" s="99"/>
      <c r="R242" s="97">
        <f t="shared" si="3"/>
        <v>8000</v>
      </c>
    </row>
    <row r="243" spans="1:18" s="98" customFormat="1" ht="15" customHeight="1">
      <c r="A243" s="94">
        <v>2008</v>
      </c>
      <c r="B243" s="93" t="s">
        <v>208</v>
      </c>
      <c r="C243" s="94">
        <v>2</v>
      </c>
      <c r="D243" s="92">
        <v>51501</v>
      </c>
      <c r="E243" s="95" t="s">
        <v>182</v>
      </c>
      <c r="F243" s="96">
        <v>10000</v>
      </c>
      <c r="G243" s="96"/>
      <c r="H243" s="96"/>
      <c r="I243" s="99"/>
      <c r="J243" s="99"/>
      <c r="K243" s="99"/>
      <c r="L243" s="99"/>
      <c r="M243" s="99"/>
      <c r="N243" s="99"/>
      <c r="O243" s="99"/>
      <c r="P243" s="99"/>
      <c r="Q243" s="99"/>
      <c r="R243" s="97">
        <f t="shared" si="3"/>
        <v>10000</v>
      </c>
    </row>
    <row r="244" spans="1:18" s="98" customFormat="1" ht="15" customHeight="1">
      <c r="A244" s="92">
        <v>9002</v>
      </c>
      <c r="B244" s="93" t="s">
        <v>209</v>
      </c>
      <c r="C244" s="94">
        <v>2</v>
      </c>
      <c r="D244" s="92">
        <v>11301</v>
      </c>
      <c r="E244" s="95" t="s">
        <v>128</v>
      </c>
      <c r="F244" s="96">
        <v>84825.87</v>
      </c>
      <c r="G244" s="96">
        <v>84825.87</v>
      </c>
      <c r="H244" s="96">
        <v>84825.87</v>
      </c>
      <c r="I244" s="96">
        <v>84825.87</v>
      </c>
      <c r="J244" s="96">
        <v>84825.87</v>
      </c>
      <c r="K244" s="96">
        <v>84825.87</v>
      </c>
      <c r="L244" s="96">
        <v>84825.87</v>
      </c>
      <c r="M244" s="96">
        <v>84825.87</v>
      </c>
      <c r="N244" s="96">
        <v>84825.87</v>
      </c>
      <c r="O244" s="96">
        <v>84825.87</v>
      </c>
      <c r="P244" s="96">
        <v>84825.87</v>
      </c>
      <c r="Q244" s="96">
        <v>84825.87</v>
      </c>
      <c r="R244" s="97">
        <f t="shared" si="3"/>
        <v>1017910.44</v>
      </c>
    </row>
    <row r="245" spans="1:18" s="98" customFormat="1" ht="15" customHeight="1">
      <c r="A245" s="92">
        <v>9002</v>
      </c>
      <c r="B245" s="93" t="s">
        <v>209</v>
      </c>
      <c r="C245" s="94">
        <v>2</v>
      </c>
      <c r="D245" s="92">
        <v>11302</v>
      </c>
      <c r="E245" s="95" t="s">
        <v>129</v>
      </c>
      <c r="F245" s="96">
        <v>84825.87</v>
      </c>
      <c r="G245" s="96">
        <v>84825.87</v>
      </c>
      <c r="H245" s="96">
        <v>84825.87</v>
      </c>
      <c r="I245" s="96">
        <v>84825.87</v>
      </c>
      <c r="J245" s="96">
        <v>84825.87</v>
      </c>
      <c r="K245" s="96">
        <v>84825.87</v>
      </c>
      <c r="L245" s="96">
        <v>84825.87</v>
      </c>
      <c r="M245" s="96">
        <v>84825.87</v>
      </c>
      <c r="N245" s="96">
        <v>84825.87</v>
      </c>
      <c r="O245" s="96">
        <v>84825.87</v>
      </c>
      <c r="P245" s="96">
        <v>84825.87</v>
      </c>
      <c r="Q245" s="96">
        <v>84825.87</v>
      </c>
      <c r="R245" s="97">
        <f t="shared" si="3"/>
        <v>1017910.44</v>
      </c>
    </row>
    <row r="246" spans="1:18" s="98" customFormat="1" ht="15" customHeight="1">
      <c r="A246" s="92">
        <v>9002</v>
      </c>
      <c r="B246" s="93" t="s">
        <v>209</v>
      </c>
      <c r="C246" s="94">
        <v>2</v>
      </c>
      <c r="D246" s="92">
        <v>11303</v>
      </c>
      <c r="E246" s="95" t="s">
        <v>130</v>
      </c>
      <c r="F246" s="96">
        <v>14333.46</v>
      </c>
      <c r="G246" s="96">
        <v>14333.46</v>
      </c>
      <c r="H246" s="96">
        <v>14333.46</v>
      </c>
      <c r="I246" s="96">
        <v>14333.46</v>
      </c>
      <c r="J246" s="96">
        <v>14333.46</v>
      </c>
      <c r="K246" s="96">
        <v>14333.46</v>
      </c>
      <c r="L246" s="96">
        <v>14333.46</v>
      </c>
      <c r="M246" s="96">
        <v>14333.46</v>
      </c>
      <c r="N246" s="96">
        <v>14333.46</v>
      </c>
      <c r="O246" s="96">
        <v>14333.46</v>
      </c>
      <c r="P246" s="96">
        <v>14333.46</v>
      </c>
      <c r="Q246" s="96">
        <v>14333.71</v>
      </c>
      <c r="R246" s="97">
        <f t="shared" si="3"/>
        <v>172001.76999999993</v>
      </c>
    </row>
    <row r="247" spans="1:18" s="98" customFormat="1" ht="15" customHeight="1">
      <c r="A247" s="92">
        <v>9002</v>
      </c>
      <c r="B247" s="93" t="s">
        <v>209</v>
      </c>
      <c r="C247" s="94">
        <v>2</v>
      </c>
      <c r="D247" s="92">
        <v>11304</v>
      </c>
      <c r="E247" s="95" t="s">
        <v>131</v>
      </c>
      <c r="F247" s="96">
        <v>268276.93</v>
      </c>
      <c r="G247" s="96">
        <v>268276.93</v>
      </c>
      <c r="H247" s="96">
        <v>268276.93</v>
      </c>
      <c r="I247" s="96">
        <v>268276.93</v>
      </c>
      <c r="J247" s="96">
        <v>268276.93</v>
      </c>
      <c r="K247" s="96">
        <v>268276.93</v>
      </c>
      <c r="L247" s="96">
        <v>268276.93</v>
      </c>
      <c r="M247" s="96">
        <v>268276.93</v>
      </c>
      <c r="N247" s="96">
        <v>268276.93</v>
      </c>
      <c r="O247" s="96">
        <v>268276.93</v>
      </c>
      <c r="P247" s="96">
        <v>268276.93</v>
      </c>
      <c r="Q247" s="96">
        <v>268276.93</v>
      </c>
      <c r="R247" s="97">
        <f t="shared" si="3"/>
        <v>3219323.1600000006</v>
      </c>
    </row>
    <row r="248" spans="1:18" s="98" customFormat="1" ht="15" customHeight="1">
      <c r="A248" s="92">
        <v>9002</v>
      </c>
      <c r="B248" s="93" t="s">
        <v>209</v>
      </c>
      <c r="C248" s="94">
        <v>2</v>
      </c>
      <c r="D248" s="92">
        <v>13101</v>
      </c>
      <c r="E248" s="95" t="s">
        <v>132</v>
      </c>
      <c r="F248" s="96">
        <v>1927.8999999999999</v>
      </c>
      <c r="G248" s="96">
        <v>1927.8999999999999</v>
      </c>
      <c r="H248" s="96">
        <v>1927.8999999999999</v>
      </c>
      <c r="I248" s="96">
        <v>1927.8999999999999</v>
      </c>
      <c r="J248" s="96">
        <v>1927.8999999999999</v>
      </c>
      <c r="K248" s="96">
        <v>1927.8999999999999</v>
      </c>
      <c r="L248" s="96">
        <v>1927.8999999999999</v>
      </c>
      <c r="M248" s="96">
        <v>1927.8999999999999</v>
      </c>
      <c r="N248" s="96">
        <v>1927.8999999999999</v>
      </c>
      <c r="O248" s="96">
        <v>1927.8999999999999</v>
      </c>
      <c r="P248" s="96">
        <v>1927.8999999999999</v>
      </c>
      <c r="Q248" s="96">
        <v>1927.8999999999999</v>
      </c>
      <c r="R248" s="97">
        <f t="shared" si="3"/>
        <v>23134.800000000003</v>
      </c>
    </row>
    <row r="249" spans="1:18" s="98" customFormat="1" ht="15" customHeight="1">
      <c r="A249" s="92">
        <v>9002</v>
      </c>
      <c r="B249" s="93" t="s">
        <v>209</v>
      </c>
      <c r="C249" s="94">
        <v>2</v>
      </c>
      <c r="D249" s="92">
        <v>13201</v>
      </c>
      <c r="E249" s="95" t="s">
        <v>133</v>
      </c>
      <c r="F249" s="96">
        <v>7146.81</v>
      </c>
      <c r="G249" s="96">
        <v>7146.81</v>
      </c>
      <c r="H249" s="96">
        <v>7146.81</v>
      </c>
      <c r="I249" s="96">
        <v>7146.81</v>
      </c>
      <c r="J249" s="96">
        <v>7146.81</v>
      </c>
      <c r="K249" s="96">
        <v>7146.81</v>
      </c>
      <c r="L249" s="96">
        <v>7146.81</v>
      </c>
      <c r="M249" s="96">
        <v>7146.81</v>
      </c>
      <c r="N249" s="96">
        <v>7146.81</v>
      </c>
      <c r="O249" s="96">
        <v>7146.81</v>
      </c>
      <c r="P249" s="96">
        <v>7146.81</v>
      </c>
      <c r="Q249" s="96">
        <v>7146.82</v>
      </c>
      <c r="R249" s="97">
        <f t="shared" si="3"/>
        <v>85761.729999999981</v>
      </c>
    </row>
    <row r="250" spans="1:18" s="98" customFormat="1" ht="15" customHeight="1">
      <c r="A250" s="92">
        <v>9002</v>
      </c>
      <c r="B250" s="93" t="s">
        <v>209</v>
      </c>
      <c r="C250" s="94">
        <v>2</v>
      </c>
      <c r="D250" s="92">
        <v>13203</v>
      </c>
      <c r="E250" s="95" t="s">
        <v>134</v>
      </c>
      <c r="F250" s="96">
        <v>75748.38</v>
      </c>
      <c r="G250" s="96">
        <v>75748.38</v>
      </c>
      <c r="H250" s="96">
        <v>75748.38</v>
      </c>
      <c r="I250" s="96">
        <v>75748.38</v>
      </c>
      <c r="J250" s="96">
        <v>75748.38</v>
      </c>
      <c r="K250" s="96">
        <v>75748.38</v>
      </c>
      <c r="L250" s="96">
        <v>75748.38</v>
      </c>
      <c r="M250" s="96">
        <v>75748.38</v>
      </c>
      <c r="N250" s="96">
        <v>75748.38</v>
      </c>
      <c r="O250" s="96">
        <v>75748.38</v>
      </c>
      <c r="P250" s="96">
        <v>75748.38</v>
      </c>
      <c r="Q250" s="96">
        <v>75748.460000000006</v>
      </c>
      <c r="R250" s="97">
        <f t="shared" si="3"/>
        <v>908980.64</v>
      </c>
    </row>
    <row r="251" spans="1:18" s="98" customFormat="1" ht="15" customHeight="1">
      <c r="A251" s="92">
        <v>9002</v>
      </c>
      <c r="B251" s="93" t="s">
        <v>209</v>
      </c>
      <c r="C251" s="94">
        <v>2</v>
      </c>
      <c r="D251" s="92">
        <v>13301</v>
      </c>
      <c r="E251" s="95" t="s">
        <v>210</v>
      </c>
      <c r="F251" s="96">
        <v>1080</v>
      </c>
      <c r="G251" s="96">
        <v>1080</v>
      </c>
      <c r="H251" s="96">
        <v>1080</v>
      </c>
      <c r="I251" s="96">
        <v>1080</v>
      </c>
      <c r="J251" s="96">
        <v>1080</v>
      </c>
      <c r="K251" s="96">
        <v>1080</v>
      </c>
      <c r="L251" s="96">
        <v>1080</v>
      </c>
      <c r="M251" s="96">
        <v>1080</v>
      </c>
      <c r="N251" s="96">
        <v>1080</v>
      </c>
      <c r="O251" s="96">
        <v>1080</v>
      </c>
      <c r="P251" s="96">
        <v>1080</v>
      </c>
      <c r="Q251" s="96">
        <v>1080</v>
      </c>
      <c r="R251" s="97">
        <f t="shared" si="3"/>
        <v>12960</v>
      </c>
    </row>
    <row r="252" spans="1:18" s="98" customFormat="1" ht="15" customHeight="1">
      <c r="A252" s="92">
        <v>9002</v>
      </c>
      <c r="B252" s="93" t="s">
        <v>209</v>
      </c>
      <c r="C252" s="94">
        <v>2</v>
      </c>
      <c r="D252" s="92">
        <v>13401</v>
      </c>
      <c r="E252" s="95" t="s">
        <v>135</v>
      </c>
      <c r="F252" s="96">
        <v>22737.91</v>
      </c>
      <c r="G252" s="96">
        <v>22737.91</v>
      </c>
      <c r="H252" s="96">
        <v>22737.91</v>
      </c>
      <c r="I252" s="96">
        <v>22737.91</v>
      </c>
      <c r="J252" s="96">
        <v>22737.91</v>
      </c>
      <c r="K252" s="96">
        <v>22737.91</v>
      </c>
      <c r="L252" s="96">
        <v>22737.91</v>
      </c>
      <c r="M252" s="96">
        <v>22737.91</v>
      </c>
      <c r="N252" s="96">
        <v>22737.91</v>
      </c>
      <c r="O252" s="96">
        <v>22737.91</v>
      </c>
      <c r="P252" s="96">
        <v>22737.91</v>
      </c>
      <c r="Q252" s="96">
        <v>22737.91</v>
      </c>
      <c r="R252" s="97">
        <f t="shared" si="3"/>
        <v>272854.92</v>
      </c>
    </row>
    <row r="253" spans="1:18" s="98" customFormat="1" ht="15" customHeight="1">
      <c r="A253" s="92">
        <v>9002</v>
      </c>
      <c r="B253" s="93" t="s">
        <v>209</v>
      </c>
      <c r="C253" s="94">
        <v>2</v>
      </c>
      <c r="D253" s="92">
        <v>14101</v>
      </c>
      <c r="E253" s="95" t="s">
        <v>136</v>
      </c>
      <c r="F253" s="96">
        <v>6268.47</v>
      </c>
      <c r="G253" s="96">
        <v>6268.47</v>
      </c>
      <c r="H253" s="96">
        <v>6268.47</v>
      </c>
      <c r="I253" s="96">
        <v>6268.47</v>
      </c>
      <c r="J253" s="96">
        <v>6268.47</v>
      </c>
      <c r="K253" s="96">
        <v>6268.47</v>
      </c>
      <c r="L253" s="96">
        <v>6268.47</v>
      </c>
      <c r="M253" s="96">
        <v>6268.47</v>
      </c>
      <c r="N253" s="96">
        <v>6268.47</v>
      </c>
      <c r="O253" s="96">
        <v>6268.47</v>
      </c>
      <c r="P253" s="96">
        <v>6268.47</v>
      </c>
      <c r="Q253" s="96">
        <v>6268.47</v>
      </c>
      <c r="R253" s="97">
        <f t="shared" si="3"/>
        <v>75221.64</v>
      </c>
    </row>
    <row r="254" spans="1:18" s="98" customFormat="1" ht="15" customHeight="1">
      <c r="A254" s="92">
        <v>9002</v>
      </c>
      <c r="B254" s="93" t="s">
        <v>209</v>
      </c>
      <c r="C254" s="94">
        <v>2</v>
      </c>
      <c r="D254" s="92">
        <v>14102</v>
      </c>
      <c r="E254" s="95" t="s">
        <v>137</v>
      </c>
      <c r="F254" s="96">
        <v>25542.880000000001</v>
      </c>
      <c r="G254" s="96">
        <v>25542.880000000001</v>
      </c>
      <c r="H254" s="96">
        <v>25542.880000000001</v>
      </c>
      <c r="I254" s="96">
        <v>25542.880000000001</v>
      </c>
      <c r="J254" s="96">
        <v>25542.880000000001</v>
      </c>
      <c r="K254" s="96">
        <v>25542.880000000001</v>
      </c>
      <c r="L254" s="96">
        <v>25542.880000000001</v>
      </c>
      <c r="M254" s="96">
        <v>25542.880000000001</v>
      </c>
      <c r="N254" s="96">
        <v>25542.880000000001</v>
      </c>
      <c r="O254" s="96">
        <v>25542.880000000001</v>
      </c>
      <c r="P254" s="96">
        <v>25542.880000000001</v>
      </c>
      <c r="Q254" s="96">
        <v>25542.99</v>
      </c>
      <c r="R254" s="97">
        <f t="shared" si="3"/>
        <v>306514.67</v>
      </c>
    </row>
    <row r="255" spans="1:18" s="98" customFormat="1" ht="15" customHeight="1">
      <c r="A255" s="92">
        <v>9002</v>
      </c>
      <c r="B255" s="93" t="s">
        <v>209</v>
      </c>
      <c r="C255" s="94">
        <v>2</v>
      </c>
      <c r="D255" s="92">
        <v>14103</v>
      </c>
      <c r="E255" s="95" t="s">
        <v>138</v>
      </c>
      <c r="F255" s="96">
        <v>4195.71</v>
      </c>
      <c r="G255" s="96">
        <v>4195.71</v>
      </c>
      <c r="H255" s="96">
        <v>4195.71</v>
      </c>
      <c r="I255" s="96">
        <v>4195.71</v>
      </c>
      <c r="J255" s="96">
        <v>4195.71</v>
      </c>
      <c r="K255" s="96">
        <v>4195.71</v>
      </c>
      <c r="L255" s="96">
        <v>4195.71</v>
      </c>
      <c r="M255" s="96">
        <v>4195.71</v>
      </c>
      <c r="N255" s="96">
        <v>4195.71</v>
      </c>
      <c r="O255" s="96">
        <v>4195.71</v>
      </c>
      <c r="P255" s="96">
        <v>4195.71</v>
      </c>
      <c r="Q255" s="96">
        <v>4195.8100000000004</v>
      </c>
      <c r="R255" s="97">
        <f t="shared" si="3"/>
        <v>50348.619999999995</v>
      </c>
    </row>
    <row r="256" spans="1:18" s="98" customFormat="1" ht="15" customHeight="1">
      <c r="A256" s="92">
        <v>9002</v>
      </c>
      <c r="B256" s="93" t="s">
        <v>209</v>
      </c>
      <c r="C256" s="94">
        <v>2</v>
      </c>
      <c r="D256" s="92">
        <v>14401</v>
      </c>
      <c r="E256" s="95" t="s">
        <v>211</v>
      </c>
      <c r="F256" s="96">
        <v>91875</v>
      </c>
      <c r="G256" s="96">
        <v>91875</v>
      </c>
      <c r="H256" s="96">
        <v>91875</v>
      </c>
      <c r="I256" s="96">
        <v>91875</v>
      </c>
      <c r="J256" s="96">
        <v>91875</v>
      </c>
      <c r="K256" s="96">
        <v>91875</v>
      </c>
      <c r="L256" s="96">
        <v>91875</v>
      </c>
      <c r="M256" s="96">
        <v>91875</v>
      </c>
      <c r="N256" s="96">
        <v>91875</v>
      </c>
      <c r="O256" s="96">
        <v>91875</v>
      </c>
      <c r="P256" s="96">
        <v>91875</v>
      </c>
      <c r="Q256" s="96">
        <v>91875</v>
      </c>
      <c r="R256" s="97">
        <f t="shared" si="3"/>
        <v>1102500</v>
      </c>
    </row>
    <row r="257" spans="1:18" s="98" customFormat="1" ht="15" customHeight="1">
      <c r="A257" s="92">
        <v>9002</v>
      </c>
      <c r="B257" s="93" t="s">
        <v>209</v>
      </c>
      <c r="C257" s="94">
        <v>2</v>
      </c>
      <c r="D257" s="92">
        <v>15201</v>
      </c>
      <c r="E257" s="95" t="s">
        <v>139</v>
      </c>
      <c r="F257" s="96">
        <v>3386.24</v>
      </c>
      <c r="G257" s="96">
        <v>3386.24</v>
      </c>
      <c r="H257" s="96">
        <v>3386.24</v>
      </c>
      <c r="I257" s="96">
        <v>3386.24</v>
      </c>
      <c r="J257" s="96">
        <v>3386.24</v>
      </c>
      <c r="K257" s="96">
        <v>3386.24</v>
      </c>
      <c r="L257" s="96">
        <v>3386.24</v>
      </c>
      <c r="M257" s="96">
        <v>3386.24</v>
      </c>
      <c r="N257" s="96">
        <v>3386.24</v>
      </c>
      <c r="O257" s="96">
        <v>3386.24</v>
      </c>
      <c r="P257" s="96">
        <v>3386.24</v>
      </c>
      <c r="Q257" s="96">
        <v>3386.24</v>
      </c>
      <c r="R257" s="97">
        <f t="shared" si="3"/>
        <v>40634.879999999983</v>
      </c>
    </row>
    <row r="258" spans="1:18" s="98" customFormat="1" ht="15" customHeight="1">
      <c r="A258" s="92">
        <v>9002</v>
      </c>
      <c r="B258" s="93" t="s">
        <v>209</v>
      </c>
      <c r="C258" s="94">
        <v>2</v>
      </c>
      <c r="D258" s="92">
        <v>15401</v>
      </c>
      <c r="E258" s="95" t="s">
        <v>140</v>
      </c>
      <c r="F258" s="96">
        <v>4145.84</v>
      </c>
      <c r="G258" s="96">
        <v>4145.84</v>
      </c>
      <c r="H258" s="96">
        <v>4145.84</v>
      </c>
      <c r="I258" s="96">
        <v>4145.84</v>
      </c>
      <c r="J258" s="96">
        <v>4145.84</v>
      </c>
      <c r="K258" s="96">
        <v>4145.84</v>
      </c>
      <c r="L258" s="96">
        <v>4145.84</v>
      </c>
      <c r="M258" s="96">
        <v>4145.84</v>
      </c>
      <c r="N258" s="96">
        <v>4145.84</v>
      </c>
      <c r="O258" s="96">
        <v>4145.84</v>
      </c>
      <c r="P258" s="96">
        <v>4145.84</v>
      </c>
      <c r="Q258" s="96">
        <v>4145.93</v>
      </c>
      <c r="R258" s="97">
        <f t="shared" si="3"/>
        <v>49750.169999999991</v>
      </c>
    </row>
    <row r="259" spans="1:18" s="98" customFormat="1" ht="15" customHeight="1">
      <c r="A259" s="92">
        <v>9002</v>
      </c>
      <c r="B259" s="93" t="s">
        <v>209</v>
      </c>
      <c r="C259" s="94">
        <v>2</v>
      </c>
      <c r="D259" s="92">
        <v>15403</v>
      </c>
      <c r="E259" s="95" t="s">
        <v>141</v>
      </c>
      <c r="F259" s="96">
        <v>27.37</v>
      </c>
      <c r="G259" s="96">
        <v>27.37</v>
      </c>
      <c r="H259" s="96">
        <v>27.37</v>
      </c>
      <c r="I259" s="96">
        <v>27.37</v>
      </c>
      <c r="J259" s="96">
        <v>27.37</v>
      </c>
      <c r="K259" s="96">
        <v>27.37</v>
      </c>
      <c r="L259" s="96">
        <v>27.37</v>
      </c>
      <c r="M259" s="96">
        <v>27.37</v>
      </c>
      <c r="N259" s="96">
        <v>27.37</v>
      </c>
      <c r="O259" s="96">
        <v>27.37</v>
      </c>
      <c r="P259" s="96">
        <v>27.37</v>
      </c>
      <c r="Q259" s="96">
        <v>27.39</v>
      </c>
      <c r="R259" s="97">
        <f t="shared" si="3"/>
        <v>328.46</v>
      </c>
    </row>
    <row r="260" spans="1:18" s="98" customFormat="1" ht="15" customHeight="1">
      <c r="A260" s="92">
        <v>9002</v>
      </c>
      <c r="B260" s="93" t="s">
        <v>209</v>
      </c>
      <c r="C260" s="94">
        <v>2</v>
      </c>
      <c r="D260" s="92">
        <v>15404</v>
      </c>
      <c r="E260" s="95" t="s">
        <v>142</v>
      </c>
      <c r="F260" s="99">
        <v>14372.5</v>
      </c>
      <c r="G260" s="99">
        <v>14372.5</v>
      </c>
      <c r="H260" s="99">
        <v>14372.5</v>
      </c>
      <c r="I260" s="99">
        <v>14372.5</v>
      </c>
      <c r="J260" s="99">
        <v>14372.5</v>
      </c>
      <c r="K260" s="99">
        <v>14372.5</v>
      </c>
      <c r="L260" s="99">
        <v>14372.5</v>
      </c>
      <c r="M260" s="99">
        <v>14372.5</v>
      </c>
      <c r="N260" s="99">
        <v>14372.5</v>
      </c>
      <c r="O260" s="99">
        <v>14372.5</v>
      </c>
      <c r="P260" s="99">
        <v>14372.5</v>
      </c>
      <c r="Q260" s="99">
        <v>14372.5</v>
      </c>
      <c r="R260" s="97">
        <f t="shared" si="3"/>
        <v>172470</v>
      </c>
    </row>
    <row r="261" spans="1:18" s="98" customFormat="1" ht="15" customHeight="1">
      <c r="A261" s="92">
        <v>9002</v>
      </c>
      <c r="B261" s="93" t="s">
        <v>209</v>
      </c>
      <c r="C261" s="94">
        <v>2</v>
      </c>
      <c r="D261" s="92">
        <v>15405</v>
      </c>
      <c r="E261" s="95" t="s">
        <v>143</v>
      </c>
      <c r="F261" s="96">
        <v>2413.04</v>
      </c>
      <c r="G261" s="96">
        <v>2413.04</v>
      </c>
      <c r="H261" s="96">
        <v>2413.04</v>
      </c>
      <c r="I261" s="96">
        <v>2413.04</v>
      </c>
      <c r="J261" s="96">
        <v>2413.04</v>
      </c>
      <c r="K261" s="96">
        <v>2413.04</v>
      </c>
      <c r="L261" s="96">
        <v>2413.04</v>
      </c>
      <c r="M261" s="96">
        <v>2413.04</v>
      </c>
      <c r="N261" s="96">
        <v>2413.04</v>
      </c>
      <c r="O261" s="96">
        <v>2413.04</v>
      </c>
      <c r="P261" s="96">
        <v>2413.04</v>
      </c>
      <c r="Q261" s="96">
        <v>2413.04</v>
      </c>
      <c r="R261" s="97">
        <f t="shared" si="3"/>
        <v>28956.480000000007</v>
      </c>
    </row>
    <row r="262" spans="1:18" s="98" customFormat="1" ht="15" customHeight="1">
      <c r="A262" s="92">
        <v>9002</v>
      </c>
      <c r="B262" s="93" t="s">
        <v>209</v>
      </c>
      <c r="C262" s="94">
        <v>2</v>
      </c>
      <c r="D262" s="92">
        <v>15407</v>
      </c>
      <c r="E262" s="95" t="s">
        <v>144</v>
      </c>
      <c r="F262" s="96">
        <v>1702.44</v>
      </c>
      <c r="G262" s="96">
        <v>1702.44</v>
      </c>
      <c r="H262" s="96">
        <v>1702.44</v>
      </c>
      <c r="I262" s="96">
        <v>1702.44</v>
      </c>
      <c r="J262" s="96">
        <v>1702.44</v>
      </c>
      <c r="K262" s="96">
        <v>1702.44</v>
      </c>
      <c r="L262" s="96">
        <v>1702.44</v>
      </c>
      <c r="M262" s="96">
        <v>1702.44</v>
      </c>
      <c r="N262" s="96">
        <v>1702.44</v>
      </c>
      <c r="O262" s="96">
        <v>1702.44</v>
      </c>
      <c r="P262" s="96">
        <v>1702.44</v>
      </c>
      <c r="Q262" s="96">
        <v>1702.5</v>
      </c>
      <c r="R262" s="97">
        <f t="shared" si="3"/>
        <v>20429.34</v>
      </c>
    </row>
    <row r="263" spans="1:18" s="98" customFormat="1" ht="15" customHeight="1">
      <c r="A263" s="92">
        <v>9002</v>
      </c>
      <c r="B263" s="93" t="s">
        <v>209</v>
      </c>
      <c r="C263" s="94">
        <v>2</v>
      </c>
      <c r="D263" s="92">
        <v>15902</v>
      </c>
      <c r="E263" s="95" t="s">
        <v>145</v>
      </c>
      <c r="F263" s="96">
        <v>0</v>
      </c>
      <c r="G263" s="96">
        <v>5070</v>
      </c>
      <c r="H263" s="96">
        <v>0</v>
      </c>
      <c r="I263" s="96">
        <v>0</v>
      </c>
      <c r="J263" s="96">
        <v>0</v>
      </c>
      <c r="K263" s="96">
        <v>0</v>
      </c>
      <c r="L263" s="96">
        <v>0</v>
      </c>
      <c r="M263" s="96">
        <v>900</v>
      </c>
      <c r="N263" s="96">
        <v>0</v>
      </c>
      <c r="O263" s="96">
        <v>0</v>
      </c>
      <c r="P263" s="96">
        <v>0</v>
      </c>
      <c r="Q263" s="96">
        <v>0</v>
      </c>
      <c r="R263" s="97">
        <f t="shared" si="3"/>
        <v>5970</v>
      </c>
    </row>
    <row r="264" spans="1:18" s="98" customFormat="1" ht="15" customHeight="1">
      <c r="A264" s="92">
        <v>9002</v>
      </c>
      <c r="B264" s="93" t="s">
        <v>209</v>
      </c>
      <c r="C264" s="94">
        <v>2</v>
      </c>
      <c r="D264" s="92">
        <v>15903</v>
      </c>
      <c r="E264" s="95" t="s">
        <v>146</v>
      </c>
      <c r="F264" s="96">
        <v>0</v>
      </c>
      <c r="G264" s="96">
        <v>0</v>
      </c>
      <c r="H264" s="96">
        <v>0</v>
      </c>
      <c r="I264" s="96">
        <v>0</v>
      </c>
      <c r="J264" s="96">
        <v>0</v>
      </c>
      <c r="K264" s="96">
        <v>0</v>
      </c>
      <c r="L264" s="96">
        <v>0</v>
      </c>
      <c r="M264" s="96">
        <v>88800</v>
      </c>
      <c r="N264" s="96"/>
      <c r="O264" s="96"/>
      <c r="P264" s="96">
        <v>0</v>
      </c>
      <c r="Q264" s="96">
        <v>0</v>
      </c>
      <c r="R264" s="97">
        <f t="shared" si="3"/>
        <v>88800</v>
      </c>
    </row>
    <row r="265" spans="1:18" s="98" customFormat="1" ht="15" customHeight="1">
      <c r="A265" s="92">
        <v>9002</v>
      </c>
      <c r="B265" s="93" t="s">
        <v>209</v>
      </c>
      <c r="C265" s="94">
        <v>2</v>
      </c>
      <c r="D265" s="92">
        <v>15904</v>
      </c>
      <c r="E265" s="95" t="s">
        <v>147</v>
      </c>
      <c r="F265" s="96">
        <v>0</v>
      </c>
      <c r="G265" s="96">
        <v>0</v>
      </c>
      <c r="H265" s="96">
        <v>0</v>
      </c>
      <c r="I265" s="96">
        <v>0</v>
      </c>
      <c r="J265" s="96">
        <v>33600</v>
      </c>
      <c r="K265" s="96">
        <v>0</v>
      </c>
      <c r="L265" s="96">
        <v>0</v>
      </c>
      <c r="M265" s="96">
        <v>0</v>
      </c>
      <c r="N265" s="96">
        <v>0</v>
      </c>
      <c r="O265" s="96">
        <v>0</v>
      </c>
      <c r="P265" s="96">
        <v>0</v>
      </c>
      <c r="Q265" s="96">
        <v>0</v>
      </c>
      <c r="R265" s="97">
        <f t="shared" ref="R265:R328" si="4">SUM(F265:Q265)</f>
        <v>33600</v>
      </c>
    </row>
    <row r="266" spans="1:18" s="98" customFormat="1" ht="15" customHeight="1">
      <c r="A266" s="92">
        <v>9002</v>
      </c>
      <c r="B266" s="93" t="s">
        <v>209</v>
      </c>
      <c r="C266" s="94">
        <v>2</v>
      </c>
      <c r="D266" s="92">
        <v>15905</v>
      </c>
      <c r="E266" s="95" t="s">
        <v>148</v>
      </c>
      <c r="F266" s="96">
        <v>0</v>
      </c>
      <c r="G266" s="96">
        <v>0</v>
      </c>
      <c r="H266" s="96">
        <v>0</v>
      </c>
      <c r="I266" s="96">
        <v>0</v>
      </c>
      <c r="J266" s="96">
        <v>0</v>
      </c>
      <c r="K266" s="96">
        <v>16800</v>
      </c>
      <c r="L266" s="96">
        <v>0</v>
      </c>
      <c r="M266" s="96">
        <v>0</v>
      </c>
      <c r="N266" s="96">
        <v>0</v>
      </c>
      <c r="O266" s="96">
        <v>0</v>
      </c>
      <c r="P266" s="96">
        <v>0</v>
      </c>
      <c r="Q266" s="96">
        <v>0</v>
      </c>
      <c r="R266" s="97">
        <f t="shared" si="4"/>
        <v>16800</v>
      </c>
    </row>
    <row r="267" spans="1:18" s="98" customFormat="1" ht="15" customHeight="1">
      <c r="A267" s="92">
        <v>9002</v>
      </c>
      <c r="B267" s="93" t="s">
        <v>209</v>
      </c>
      <c r="C267" s="94">
        <v>2</v>
      </c>
      <c r="D267" s="92">
        <v>16101</v>
      </c>
      <c r="E267" s="95" t="s">
        <v>212</v>
      </c>
      <c r="F267" s="96">
        <v>15961415.83</v>
      </c>
      <c r="G267" s="96">
        <v>961415.83</v>
      </c>
      <c r="H267" s="96">
        <v>961415.83</v>
      </c>
      <c r="I267" s="96">
        <v>2961415.83</v>
      </c>
      <c r="J267" s="96">
        <v>2961415.83</v>
      </c>
      <c r="K267" s="96">
        <v>2961415.83</v>
      </c>
      <c r="L267" s="96">
        <v>2961415.83</v>
      </c>
      <c r="M267" s="96">
        <v>2961415.83</v>
      </c>
      <c r="N267" s="96">
        <v>2961415.83</v>
      </c>
      <c r="O267" s="96">
        <v>1961415.83</v>
      </c>
      <c r="P267" s="96">
        <v>961415.83</v>
      </c>
      <c r="Q267" s="96">
        <v>961415.9</v>
      </c>
      <c r="R267" s="97">
        <f t="shared" si="4"/>
        <v>39536990.029999986</v>
      </c>
    </row>
    <row r="268" spans="1:18" s="98" customFormat="1" ht="15" customHeight="1">
      <c r="A268" s="94">
        <v>9002</v>
      </c>
      <c r="B268" s="93" t="s">
        <v>209</v>
      </c>
      <c r="C268" s="94">
        <v>2</v>
      </c>
      <c r="D268" s="94">
        <v>21101</v>
      </c>
      <c r="E268" s="93" t="s">
        <v>150</v>
      </c>
      <c r="F268" s="99">
        <v>2000</v>
      </c>
      <c r="G268" s="99">
        <v>3000</v>
      </c>
      <c r="H268" s="99">
        <v>2000</v>
      </c>
      <c r="I268" s="99">
        <v>2000</v>
      </c>
      <c r="J268" s="99">
        <v>2000</v>
      </c>
      <c r="K268" s="99">
        <v>2000</v>
      </c>
      <c r="L268" s="99">
        <v>2000</v>
      </c>
      <c r="M268" s="99">
        <v>3000</v>
      </c>
      <c r="N268" s="99">
        <v>2000</v>
      </c>
      <c r="O268" s="99">
        <v>2000</v>
      </c>
      <c r="P268" s="99">
        <v>2000</v>
      </c>
      <c r="Q268" s="99">
        <v>2000</v>
      </c>
      <c r="R268" s="97">
        <f t="shared" si="4"/>
        <v>26000</v>
      </c>
    </row>
    <row r="269" spans="1:18" s="98" customFormat="1" ht="15" customHeight="1">
      <c r="A269" s="94">
        <v>9002</v>
      </c>
      <c r="B269" s="93" t="s">
        <v>209</v>
      </c>
      <c r="C269" s="94">
        <v>2</v>
      </c>
      <c r="D269" s="94">
        <v>21401</v>
      </c>
      <c r="E269" s="93" t="s">
        <v>151</v>
      </c>
      <c r="F269" s="99">
        <v>1500</v>
      </c>
      <c r="G269" s="99">
        <v>1500</v>
      </c>
      <c r="H269" s="99">
        <v>1500</v>
      </c>
      <c r="I269" s="99">
        <v>1500</v>
      </c>
      <c r="J269" s="99">
        <v>1500</v>
      </c>
      <c r="K269" s="99">
        <v>1500</v>
      </c>
      <c r="L269" s="99">
        <v>1500</v>
      </c>
      <c r="M269" s="99">
        <v>1500</v>
      </c>
      <c r="N269" s="99">
        <v>1500</v>
      </c>
      <c r="O269" s="99">
        <v>1500</v>
      </c>
      <c r="P269" s="99">
        <v>1500</v>
      </c>
      <c r="Q269" s="99">
        <v>1500</v>
      </c>
      <c r="R269" s="97">
        <f t="shared" si="4"/>
        <v>18000</v>
      </c>
    </row>
    <row r="270" spans="1:18" s="98" customFormat="1" ht="15" customHeight="1">
      <c r="A270" s="94">
        <v>9002</v>
      </c>
      <c r="B270" s="93" t="s">
        <v>209</v>
      </c>
      <c r="C270" s="94">
        <v>2</v>
      </c>
      <c r="D270" s="94">
        <v>21801</v>
      </c>
      <c r="E270" s="93" t="s">
        <v>213</v>
      </c>
      <c r="F270" s="99">
        <v>10000</v>
      </c>
      <c r="G270" s="99"/>
      <c r="H270" s="99"/>
      <c r="I270" s="99"/>
      <c r="J270" s="99">
        <v>10000</v>
      </c>
      <c r="K270" s="99"/>
      <c r="L270" s="99"/>
      <c r="M270" s="99"/>
      <c r="N270" s="99"/>
      <c r="O270" s="99"/>
      <c r="P270" s="99"/>
      <c r="Q270" s="99"/>
      <c r="R270" s="97">
        <f t="shared" si="4"/>
        <v>20000</v>
      </c>
    </row>
    <row r="271" spans="1:18" s="98" customFormat="1" ht="15" customHeight="1">
      <c r="A271" s="94">
        <v>9002</v>
      </c>
      <c r="B271" s="93" t="s">
        <v>209</v>
      </c>
      <c r="C271" s="94">
        <v>2</v>
      </c>
      <c r="D271" s="94">
        <v>22101</v>
      </c>
      <c r="E271" s="93" t="s">
        <v>152</v>
      </c>
      <c r="F271" s="99">
        <v>1500</v>
      </c>
      <c r="G271" s="99"/>
      <c r="H271" s="99"/>
      <c r="I271" s="99"/>
      <c r="J271" s="99"/>
      <c r="K271" s="99"/>
      <c r="L271" s="99">
        <v>1500</v>
      </c>
      <c r="M271" s="99"/>
      <c r="N271" s="99"/>
      <c r="O271" s="99"/>
      <c r="P271" s="99"/>
      <c r="Q271" s="99"/>
      <c r="R271" s="97">
        <f t="shared" si="4"/>
        <v>3000</v>
      </c>
    </row>
    <row r="272" spans="1:18" s="98" customFormat="1" ht="15" customHeight="1">
      <c r="A272" s="94">
        <v>9002</v>
      </c>
      <c r="B272" s="93" t="s">
        <v>209</v>
      </c>
      <c r="C272" s="94">
        <v>2</v>
      </c>
      <c r="D272" s="94">
        <v>25301</v>
      </c>
      <c r="E272" s="93" t="s">
        <v>214</v>
      </c>
      <c r="F272" s="99"/>
      <c r="G272" s="99">
        <v>500</v>
      </c>
      <c r="H272" s="99"/>
      <c r="I272" s="99"/>
      <c r="J272" s="99"/>
      <c r="K272" s="99"/>
      <c r="L272" s="99"/>
      <c r="M272" s="99">
        <v>500</v>
      </c>
      <c r="N272" s="99"/>
      <c r="O272" s="99"/>
      <c r="P272" s="99"/>
      <c r="Q272" s="99"/>
      <c r="R272" s="97">
        <f t="shared" si="4"/>
        <v>1000</v>
      </c>
    </row>
    <row r="273" spans="1:18" s="98" customFormat="1" ht="15" customHeight="1">
      <c r="A273" s="94">
        <v>9002</v>
      </c>
      <c r="B273" s="93" t="s">
        <v>209</v>
      </c>
      <c r="C273" s="94">
        <v>2</v>
      </c>
      <c r="D273" s="94">
        <v>26101</v>
      </c>
      <c r="E273" s="93" t="s">
        <v>153</v>
      </c>
      <c r="F273" s="99">
        <v>8000</v>
      </c>
      <c r="G273" s="99">
        <v>8000</v>
      </c>
      <c r="H273" s="99">
        <v>8000</v>
      </c>
      <c r="I273" s="99">
        <v>8000</v>
      </c>
      <c r="J273" s="99">
        <v>8000</v>
      </c>
      <c r="K273" s="99">
        <v>8000</v>
      </c>
      <c r="L273" s="99">
        <v>8000</v>
      </c>
      <c r="M273" s="99">
        <v>8000</v>
      </c>
      <c r="N273" s="99">
        <v>8000</v>
      </c>
      <c r="O273" s="99">
        <v>8000</v>
      </c>
      <c r="P273" s="99">
        <v>8000</v>
      </c>
      <c r="Q273" s="99">
        <v>8000</v>
      </c>
      <c r="R273" s="97">
        <f t="shared" si="4"/>
        <v>96000</v>
      </c>
    </row>
    <row r="274" spans="1:18" s="98" customFormat="1" ht="15" customHeight="1">
      <c r="A274" s="94">
        <v>9002</v>
      </c>
      <c r="B274" s="93" t="s">
        <v>209</v>
      </c>
      <c r="C274" s="94">
        <v>2</v>
      </c>
      <c r="D274" s="94">
        <v>29401</v>
      </c>
      <c r="E274" s="93" t="s">
        <v>155</v>
      </c>
      <c r="F274" s="99"/>
      <c r="G274" s="99">
        <v>150</v>
      </c>
      <c r="H274" s="99"/>
      <c r="I274" s="99">
        <v>150</v>
      </c>
      <c r="J274" s="99"/>
      <c r="K274" s="99"/>
      <c r="L274" s="99"/>
      <c r="M274" s="99">
        <v>150</v>
      </c>
      <c r="N274" s="99"/>
      <c r="O274" s="99">
        <v>150</v>
      </c>
      <c r="P274" s="99"/>
      <c r="Q274" s="99"/>
      <c r="R274" s="97">
        <f t="shared" si="4"/>
        <v>600</v>
      </c>
    </row>
    <row r="275" spans="1:18" s="98" customFormat="1" ht="15" customHeight="1">
      <c r="A275" s="94">
        <v>9002</v>
      </c>
      <c r="B275" s="93" t="s">
        <v>209</v>
      </c>
      <c r="C275" s="94">
        <v>2</v>
      </c>
      <c r="D275" s="94">
        <v>29602</v>
      </c>
      <c r="E275" s="93" t="s">
        <v>156</v>
      </c>
      <c r="F275" s="99">
        <v>1150</v>
      </c>
      <c r="G275" s="99"/>
      <c r="H275" s="99"/>
      <c r="I275" s="99"/>
      <c r="J275" s="99"/>
      <c r="K275" s="99"/>
      <c r="L275" s="99">
        <v>1150</v>
      </c>
      <c r="M275" s="99"/>
      <c r="N275" s="99"/>
      <c r="O275" s="99"/>
      <c r="P275" s="99"/>
      <c r="Q275" s="99"/>
      <c r="R275" s="97">
        <f t="shared" si="4"/>
        <v>2300</v>
      </c>
    </row>
    <row r="276" spans="1:18" s="98" customFormat="1" ht="15" customHeight="1">
      <c r="A276" s="94">
        <v>9002</v>
      </c>
      <c r="B276" s="93" t="s">
        <v>209</v>
      </c>
      <c r="C276" s="94">
        <v>2</v>
      </c>
      <c r="D276" s="94">
        <v>31101</v>
      </c>
      <c r="E276" s="93" t="s">
        <v>157</v>
      </c>
      <c r="F276" s="99">
        <v>4270</v>
      </c>
      <c r="G276" s="99">
        <v>4270</v>
      </c>
      <c r="H276" s="99">
        <v>4270</v>
      </c>
      <c r="I276" s="99">
        <v>4270</v>
      </c>
      <c r="J276" s="99">
        <v>4270</v>
      </c>
      <c r="K276" s="99">
        <v>4270</v>
      </c>
      <c r="L276" s="99">
        <v>4270</v>
      </c>
      <c r="M276" s="99">
        <v>4270</v>
      </c>
      <c r="N276" s="99">
        <v>4270</v>
      </c>
      <c r="O276" s="99">
        <v>4270</v>
      </c>
      <c r="P276" s="99">
        <v>4270</v>
      </c>
      <c r="Q276" s="99">
        <v>4270</v>
      </c>
      <c r="R276" s="97">
        <f t="shared" si="4"/>
        <v>51240</v>
      </c>
    </row>
    <row r="277" spans="1:18" s="98" customFormat="1" ht="15" customHeight="1">
      <c r="A277" s="94">
        <v>9002</v>
      </c>
      <c r="B277" s="93" t="s">
        <v>209</v>
      </c>
      <c r="C277" s="94">
        <v>2</v>
      </c>
      <c r="D277" s="94">
        <v>33601</v>
      </c>
      <c r="E277" s="95" t="s">
        <v>204</v>
      </c>
      <c r="F277" s="99">
        <v>500</v>
      </c>
      <c r="G277" s="99"/>
      <c r="H277" s="99"/>
      <c r="I277" s="99"/>
      <c r="J277" s="99"/>
      <c r="K277" s="99"/>
      <c r="L277" s="99">
        <v>500</v>
      </c>
      <c r="M277" s="99"/>
      <c r="N277" s="99"/>
      <c r="O277" s="99"/>
      <c r="P277" s="99"/>
      <c r="Q277" s="99"/>
      <c r="R277" s="97">
        <f t="shared" si="4"/>
        <v>1000</v>
      </c>
    </row>
    <row r="278" spans="1:18" s="98" customFormat="1" ht="15" customHeight="1">
      <c r="A278" s="94">
        <v>9002</v>
      </c>
      <c r="B278" s="93" t="s">
        <v>209</v>
      </c>
      <c r="C278" s="94">
        <v>2</v>
      </c>
      <c r="D278" s="94">
        <v>37201</v>
      </c>
      <c r="E278" s="95" t="s">
        <v>164</v>
      </c>
      <c r="F278" s="99">
        <v>250</v>
      </c>
      <c r="G278" s="99"/>
      <c r="H278" s="99"/>
      <c r="I278" s="99"/>
      <c r="J278" s="99"/>
      <c r="K278" s="99"/>
      <c r="L278" s="99">
        <v>250</v>
      </c>
      <c r="M278" s="99"/>
      <c r="N278" s="99"/>
      <c r="O278" s="99"/>
      <c r="P278" s="99"/>
      <c r="Q278" s="99"/>
      <c r="R278" s="97">
        <f t="shared" si="4"/>
        <v>500</v>
      </c>
    </row>
    <row r="279" spans="1:18" s="98" customFormat="1" ht="15" customHeight="1">
      <c r="A279" s="94">
        <v>9002</v>
      </c>
      <c r="B279" s="93" t="s">
        <v>209</v>
      </c>
      <c r="C279" s="94">
        <v>2</v>
      </c>
      <c r="D279" s="94">
        <v>37204</v>
      </c>
      <c r="E279" s="95" t="s">
        <v>167</v>
      </c>
      <c r="F279" s="99">
        <v>500</v>
      </c>
      <c r="G279" s="99"/>
      <c r="H279" s="99"/>
      <c r="I279" s="99"/>
      <c r="J279" s="99"/>
      <c r="K279" s="99"/>
      <c r="L279" s="99">
        <v>500</v>
      </c>
      <c r="M279" s="99"/>
      <c r="N279" s="99"/>
      <c r="O279" s="99"/>
      <c r="P279" s="99"/>
      <c r="Q279" s="99"/>
      <c r="R279" s="97">
        <f t="shared" si="4"/>
        <v>1000</v>
      </c>
    </row>
    <row r="280" spans="1:18" s="98" customFormat="1" ht="15" customHeight="1">
      <c r="A280" s="94">
        <v>9002</v>
      </c>
      <c r="B280" s="93" t="s">
        <v>209</v>
      </c>
      <c r="C280" s="94">
        <v>2</v>
      </c>
      <c r="D280" s="94">
        <v>37502</v>
      </c>
      <c r="E280" s="100" t="s">
        <v>169</v>
      </c>
      <c r="F280" s="99">
        <v>750</v>
      </c>
      <c r="G280" s="99"/>
      <c r="H280" s="99"/>
      <c r="I280" s="99"/>
      <c r="J280" s="99"/>
      <c r="K280" s="99"/>
      <c r="L280" s="99">
        <v>750</v>
      </c>
      <c r="M280" s="99"/>
      <c r="N280" s="99"/>
      <c r="O280" s="99"/>
      <c r="P280" s="99"/>
      <c r="Q280" s="99"/>
      <c r="R280" s="97">
        <f t="shared" si="4"/>
        <v>1500</v>
      </c>
    </row>
    <row r="281" spans="1:18" s="98" customFormat="1" ht="15" customHeight="1">
      <c r="A281" s="94">
        <v>9002</v>
      </c>
      <c r="B281" s="93" t="s">
        <v>209</v>
      </c>
      <c r="C281" s="94">
        <v>2</v>
      </c>
      <c r="D281" s="92">
        <v>39801</v>
      </c>
      <c r="E281" s="95" t="s">
        <v>176</v>
      </c>
      <c r="F281" s="96">
        <v>1814.25</v>
      </c>
      <c r="G281" s="96">
        <v>1814.25</v>
      </c>
      <c r="H281" s="96">
        <v>1814.25</v>
      </c>
      <c r="I281" s="96">
        <v>1814.25</v>
      </c>
      <c r="J281" s="96">
        <v>1814.25</v>
      </c>
      <c r="K281" s="96">
        <v>1814.25</v>
      </c>
      <c r="L281" s="96">
        <v>1814.25</v>
      </c>
      <c r="M281" s="96">
        <v>1814.25</v>
      </c>
      <c r="N281" s="96">
        <v>1814.25</v>
      </c>
      <c r="O281" s="96">
        <v>1814.25</v>
      </c>
      <c r="P281" s="96">
        <v>1814.25</v>
      </c>
      <c r="Q281" s="96">
        <v>1814.35</v>
      </c>
      <c r="R281" s="97">
        <f t="shared" si="4"/>
        <v>21771.1</v>
      </c>
    </row>
    <row r="282" spans="1:18" s="98" customFormat="1" ht="15" customHeight="1">
      <c r="A282" s="94">
        <v>9002</v>
      </c>
      <c r="B282" s="93" t="s">
        <v>209</v>
      </c>
      <c r="C282" s="94">
        <v>2</v>
      </c>
      <c r="D282" s="92">
        <v>39802</v>
      </c>
      <c r="E282" s="95" t="s">
        <v>177</v>
      </c>
      <c r="F282" s="96">
        <v>1814.25</v>
      </c>
      <c r="G282" s="96">
        <v>1814.25</v>
      </c>
      <c r="H282" s="96">
        <v>1814.25</v>
      </c>
      <c r="I282" s="96">
        <v>1814.25</v>
      </c>
      <c r="J282" s="96">
        <v>1814.25</v>
      </c>
      <c r="K282" s="96">
        <v>1814.25</v>
      </c>
      <c r="L282" s="96">
        <v>1814.25</v>
      </c>
      <c r="M282" s="96">
        <v>1814.25</v>
      </c>
      <c r="N282" s="96">
        <v>1814.25</v>
      </c>
      <c r="O282" s="96">
        <v>1814.25</v>
      </c>
      <c r="P282" s="96">
        <v>1814.25</v>
      </c>
      <c r="Q282" s="96">
        <v>1814.35</v>
      </c>
      <c r="R282" s="97">
        <f t="shared" si="4"/>
        <v>21771.1</v>
      </c>
    </row>
    <row r="283" spans="1:18" s="98" customFormat="1" ht="15" customHeight="1">
      <c r="A283" s="94">
        <v>9002</v>
      </c>
      <c r="B283" s="93" t="s">
        <v>209</v>
      </c>
      <c r="C283" s="94">
        <v>2</v>
      </c>
      <c r="D283" s="92">
        <v>39803</v>
      </c>
      <c r="E283" s="95" t="s">
        <v>178</v>
      </c>
      <c r="F283" s="96">
        <v>12095.05</v>
      </c>
      <c r="G283" s="96">
        <v>12095.05</v>
      </c>
      <c r="H283" s="96">
        <v>12095.05</v>
      </c>
      <c r="I283" s="96">
        <v>12095.05</v>
      </c>
      <c r="J283" s="96">
        <v>12095.05</v>
      </c>
      <c r="K283" s="96">
        <v>12095.05</v>
      </c>
      <c r="L283" s="96">
        <v>12095.05</v>
      </c>
      <c r="M283" s="96">
        <v>12095.05</v>
      </c>
      <c r="N283" s="96">
        <v>12095.05</v>
      </c>
      <c r="O283" s="96">
        <v>12095.05</v>
      </c>
      <c r="P283" s="96">
        <v>12095.05</v>
      </c>
      <c r="Q283" s="96">
        <v>12095.12</v>
      </c>
      <c r="R283" s="97">
        <f t="shared" si="4"/>
        <v>145140.67000000001</v>
      </c>
    </row>
    <row r="284" spans="1:18" s="98" customFormat="1" ht="15" customHeight="1">
      <c r="A284" s="94">
        <v>9002</v>
      </c>
      <c r="B284" s="93" t="s">
        <v>209</v>
      </c>
      <c r="C284" s="94">
        <v>2</v>
      </c>
      <c r="D284" s="92">
        <v>39804</v>
      </c>
      <c r="E284" s="95" t="s">
        <v>179</v>
      </c>
      <c r="F284" s="96">
        <v>1814.25</v>
      </c>
      <c r="G284" s="96">
        <v>1814.25</v>
      </c>
      <c r="H284" s="96">
        <v>1814.25</v>
      </c>
      <c r="I284" s="96">
        <v>1814.25</v>
      </c>
      <c r="J284" s="96">
        <v>1814.25</v>
      </c>
      <c r="K284" s="96">
        <v>1814.25</v>
      </c>
      <c r="L284" s="96">
        <v>1814.25</v>
      </c>
      <c r="M284" s="96">
        <v>1814.25</v>
      </c>
      <c r="N284" s="96">
        <v>1814.25</v>
      </c>
      <c r="O284" s="96">
        <v>1814.25</v>
      </c>
      <c r="P284" s="96">
        <v>1814.25</v>
      </c>
      <c r="Q284" s="96">
        <v>1814.35</v>
      </c>
      <c r="R284" s="97">
        <f t="shared" si="4"/>
        <v>21771.1</v>
      </c>
    </row>
    <row r="285" spans="1:18" s="98" customFormat="1" ht="15" customHeight="1">
      <c r="A285" s="94">
        <v>9002</v>
      </c>
      <c r="B285" s="93" t="s">
        <v>209</v>
      </c>
      <c r="C285" s="94">
        <v>2</v>
      </c>
      <c r="D285" s="92">
        <v>51501</v>
      </c>
      <c r="E285" s="95" t="s">
        <v>200</v>
      </c>
      <c r="F285" s="96"/>
      <c r="G285" s="96">
        <v>15000</v>
      </c>
      <c r="H285" s="96"/>
      <c r="I285" s="99"/>
      <c r="J285" s="99"/>
      <c r="K285" s="99"/>
      <c r="L285" s="99"/>
      <c r="M285" s="99"/>
      <c r="N285" s="99"/>
      <c r="O285" s="99"/>
      <c r="P285" s="99"/>
      <c r="Q285" s="99"/>
      <c r="R285" s="97">
        <f t="shared" si="4"/>
        <v>15000</v>
      </c>
    </row>
    <row r="286" spans="1:18" s="98" customFormat="1" ht="15" customHeight="1">
      <c r="A286" s="92">
        <v>9003</v>
      </c>
      <c r="B286" s="93" t="s">
        <v>215</v>
      </c>
      <c r="C286" s="94">
        <v>2</v>
      </c>
      <c r="D286" s="92">
        <v>11301</v>
      </c>
      <c r="E286" s="95" t="s">
        <v>128</v>
      </c>
      <c r="F286" s="96">
        <v>75192.03</v>
      </c>
      <c r="G286" s="96">
        <v>75192.03</v>
      </c>
      <c r="H286" s="96">
        <v>75192.03</v>
      </c>
      <c r="I286" s="96">
        <v>75192.03</v>
      </c>
      <c r="J286" s="96">
        <v>75192.03</v>
      </c>
      <c r="K286" s="96">
        <v>75192.03</v>
      </c>
      <c r="L286" s="96">
        <v>75192.03</v>
      </c>
      <c r="M286" s="96">
        <v>75192.03</v>
      </c>
      <c r="N286" s="96">
        <v>75192.03</v>
      </c>
      <c r="O286" s="96">
        <v>75192.03</v>
      </c>
      <c r="P286" s="96">
        <v>75192.03</v>
      </c>
      <c r="Q286" s="96">
        <v>75192.12</v>
      </c>
      <c r="R286" s="97">
        <f t="shared" si="4"/>
        <v>902304.45000000019</v>
      </c>
    </row>
    <row r="287" spans="1:18" s="98" customFormat="1" ht="15" customHeight="1">
      <c r="A287" s="92">
        <v>9003</v>
      </c>
      <c r="B287" s="93" t="s">
        <v>215</v>
      </c>
      <c r="C287" s="94">
        <v>2</v>
      </c>
      <c r="D287" s="92">
        <v>11302</v>
      </c>
      <c r="E287" s="95" t="s">
        <v>129</v>
      </c>
      <c r="F287" s="96">
        <v>75192.03</v>
      </c>
      <c r="G287" s="96">
        <v>75192.03</v>
      </c>
      <c r="H287" s="96">
        <v>75192.03</v>
      </c>
      <c r="I287" s="96">
        <v>75192.03</v>
      </c>
      <c r="J287" s="96">
        <v>75192.03</v>
      </c>
      <c r="K287" s="96">
        <v>75192.03</v>
      </c>
      <c r="L287" s="96">
        <v>75192.03</v>
      </c>
      <c r="M287" s="96">
        <v>75192.03</v>
      </c>
      <c r="N287" s="96">
        <v>75192.03</v>
      </c>
      <c r="O287" s="96">
        <v>75192.03</v>
      </c>
      <c r="P287" s="96">
        <v>75192.03</v>
      </c>
      <c r="Q287" s="96">
        <v>75192.12</v>
      </c>
      <c r="R287" s="97">
        <f t="shared" si="4"/>
        <v>902304.45000000019</v>
      </c>
    </row>
    <row r="288" spans="1:18" s="98" customFormat="1" ht="15" customHeight="1">
      <c r="A288" s="92">
        <v>9003</v>
      </c>
      <c r="B288" s="93" t="s">
        <v>215</v>
      </c>
      <c r="C288" s="94">
        <v>2</v>
      </c>
      <c r="D288" s="92">
        <v>11304</v>
      </c>
      <c r="E288" s="95" t="s">
        <v>131</v>
      </c>
      <c r="F288" s="96">
        <v>27150.21</v>
      </c>
      <c r="G288" s="96">
        <v>27150.21</v>
      </c>
      <c r="H288" s="96">
        <v>27150.21</v>
      </c>
      <c r="I288" s="96">
        <v>27150.21</v>
      </c>
      <c r="J288" s="96">
        <v>27150.21</v>
      </c>
      <c r="K288" s="96">
        <v>27150.21</v>
      </c>
      <c r="L288" s="96">
        <v>27150.21</v>
      </c>
      <c r="M288" s="96">
        <v>27150.21</v>
      </c>
      <c r="N288" s="96">
        <v>27150.21</v>
      </c>
      <c r="O288" s="96">
        <v>27150.21</v>
      </c>
      <c r="P288" s="96">
        <v>27150.21</v>
      </c>
      <c r="Q288" s="96">
        <v>27150.21</v>
      </c>
      <c r="R288" s="97">
        <f t="shared" si="4"/>
        <v>325802.52</v>
      </c>
    </row>
    <row r="289" spans="1:18" s="98" customFormat="1" ht="15" customHeight="1">
      <c r="A289" s="92">
        <v>9003</v>
      </c>
      <c r="B289" s="93" t="s">
        <v>215</v>
      </c>
      <c r="C289" s="94">
        <v>2</v>
      </c>
      <c r="D289" s="92">
        <v>13101</v>
      </c>
      <c r="E289" s="95" t="s">
        <v>132</v>
      </c>
      <c r="F289" s="96">
        <v>2076.2000000000003</v>
      </c>
      <c r="G289" s="96">
        <v>2076.2000000000003</v>
      </c>
      <c r="H289" s="96">
        <v>2076.2000000000003</v>
      </c>
      <c r="I289" s="96">
        <v>2076.2000000000003</v>
      </c>
      <c r="J289" s="96">
        <v>2076.2000000000003</v>
      </c>
      <c r="K289" s="96">
        <v>2076.2000000000003</v>
      </c>
      <c r="L289" s="96">
        <v>2076.2000000000003</v>
      </c>
      <c r="M289" s="96">
        <v>2076.2000000000003</v>
      </c>
      <c r="N289" s="96">
        <v>2076.2000000000003</v>
      </c>
      <c r="O289" s="96">
        <v>2076.2000000000003</v>
      </c>
      <c r="P289" s="96">
        <v>2076.2000000000003</v>
      </c>
      <c r="Q289" s="96">
        <v>2076.2000000000003</v>
      </c>
      <c r="R289" s="97">
        <f t="shared" si="4"/>
        <v>24914.400000000005</v>
      </c>
    </row>
    <row r="290" spans="1:18" s="98" customFormat="1" ht="15" customHeight="1">
      <c r="A290" s="92">
        <v>9003</v>
      </c>
      <c r="B290" s="93" t="s">
        <v>215</v>
      </c>
      <c r="C290" s="94">
        <v>2</v>
      </c>
      <c r="D290" s="92">
        <v>13201</v>
      </c>
      <c r="E290" s="95" t="s">
        <v>133</v>
      </c>
      <c r="F290" s="96">
        <v>3123.75</v>
      </c>
      <c r="G290" s="96">
        <v>3123.75</v>
      </c>
      <c r="H290" s="96">
        <v>3123.75</v>
      </c>
      <c r="I290" s="96">
        <v>3123.75</v>
      </c>
      <c r="J290" s="96">
        <v>3123.75</v>
      </c>
      <c r="K290" s="96">
        <v>3123.75</v>
      </c>
      <c r="L290" s="96">
        <v>3123.75</v>
      </c>
      <c r="M290" s="96">
        <v>3123.75</v>
      </c>
      <c r="N290" s="96">
        <v>3123.75</v>
      </c>
      <c r="O290" s="96">
        <v>3123.75</v>
      </c>
      <c r="P290" s="96">
        <v>3123.75</v>
      </c>
      <c r="Q290" s="96">
        <v>3123.75</v>
      </c>
      <c r="R290" s="97">
        <f t="shared" si="4"/>
        <v>37485</v>
      </c>
    </row>
    <row r="291" spans="1:18" s="98" customFormat="1" ht="15" customHeight="1">
      <c r="A291" s="92">
        <v>9003</v>
      </c>
      <c r="B291" s="93" t="s">
        <v>215</v>
      </c>
      <c r="C291" s="94">
        <v>2</v>
      </c>
      <c r="D291" s="92">
        <v>13203</v>
      </c>
      <c r="E291" s="95" t="s">
        <v>134</v>
      </c>
      <c r="F291" s="96">
        <v>42898.55</v>
      </c>
      <c r="G291" s="96">
        <v>42898.55</v>
      </c>
      <c r="H291" s="96">
        <v>42898.55</v>
      </c>
      <c r="I291" s="96">
        <v>42898.55</v>
      </c>
      <c r="J291" s="96">
        <v>42898.55</v>
      </c>
      <c r="K291" s="96">
        <v>42898.55</v>
      </c>
      <c r="L291" s="96">
        <v>42898.55</v>
      </c>
      <c r="M291" s="96">
        <v>42898.55</v>
      </c>
      <c r="N291" s="96">
        <v>42898.55</v>
      </c>
      <c r="O291" s="96">
        <v>42898.55</v>
      </c>
      <c r="P291" s="96">
        <v>42898.55</v>
      </c>
      <c r="Q291" s="96">
        <v>42898.65</v>
      </c>
      <c r="R291" s="97">
        <f t="shared" si="4"/>
        <v>514782.69999999995</v>
      </c>
    </row>
    <row r="292" spans="1:18" s="98" customFormat="1" ht="15" customHeight="1">
      <c r="A292" s="92">
        <v>9003</v>
      </c>
      <c r="B292" s="93" t="s">
        <v>215</v>
      </c>
      <c r="C292" s="94">
        <v>2</v>
      </c>
      <c r="D292" s="92">
        <v>13401</v>
      </c>
      <c r="E292" s="95" t="s">
        <v>135</v>
      </c>
      <c r="F292" s="96">
        <v>2995.78</v>
      </c>
      <c r="G292" s="96">
        <v>2995.78</v>
      </c>
      <c r="H292" s="96">
        <v>2995.78</v>
      </c>
      <c r="I292" s="96">
        <v>2995.78</v>
      </c>
      <c r="J292" s="96">
        <v>2995.78</v>
      </c>
      <c r="K292" s="96">
        <v>2995.78</v>
      </c>
      <c r="L292" s="96">
        <v>2995.78</v>
      </c>
      <c r="M292" s="96">
        <v>2995.78</v>
      </c>
      <c r="N292" s="96">
        <v>2995.78</v>
      </c>
      <c r="O292" s="96">
        <v>2995.78</v>
      </c>
      <c r="P292" s="96">
        <v>2995.78</v>
      </c>
      <c r="Q292" s="96">
        <v>2995.78</v>
      </c>
      <c r="R292" s="97">
        <f t="shared" si="4"/>
        <v>35949.359999999993</v>
      </c>
    </row>
    <row r="293" spans="1:18" s="98" customFormat="1" ht="15" customHeight="1">
      <c r="A293" s="92">
        <v>9003</v>
      </c>
      <c r="B293" s="93" t="s">
        <v>215</v>
      </c>
      <c r="C293" s="94">
        <v>2</v>
      </c>
      <c r="D293" s="92">
        <v>14101</v>
      </c>
      <c r="E293" s="95" t="s">
        <v>136</v>
      </c>
      <c r="F293" s="96">
        <v>6023</v>
      </c>
      <c r="G293" s="96">
        <v>6023</v>
      </c>
      <c r="H293" s="96">
        <v>6023</v>
      </c>
      <c r="I293" s="96">
        <v>6023</v>
      </c>
      <c r="J293" s="96">
        <v>6023</v>
      </c>
      <c r="K293" s="96">
        <v>6023</v>
      </c>
      <c r="L293" s="96">
        <v>6023</v>
      </c>
      <c r="M293" s="96">
        <v>6023</v>
      </c>
      <c r="N293" s="96">
        <v>6023</v>
      </c>
      <c r="O293" s="96">
        <v>6023</v>
      </c>
      <c r="P293" s="96">
        <v>6023</v>
      </c>
      <c r="Q293" s="96">
        <v>6023.03</v>
      </c>
      <c r="R293" s="97">
        <f t="shared" si="4"/>
        <v>72276.03</v>
      </c>
    </row>
    <row r="294" spans="1:18" s="98" customFormat="1" ht="15" customHeight="1">
      <c r="A294" s="92">
        <v>9003</v>
      </c>
      <c r="B294" s="93" t="s">
        <v>215</v>
      </c>
      <c r="C294" s="94">
        <v>2</v>
      </c>
      <c r="D294" s="92">
        <v>14102</v>
      </c>
      <c r="E294" s="95" t="s">
        <v>137</v>
      </c>
      <c r="F294" s="96">
        <v>23978.62</v>
      </c>
      <c r="G294" s="96">
        <v>23978.62</v>
      </c>
      <c r="H294" s="96">
        <v>23978.62</v>
      </c>
      <c r="I294" s="96">
        <v>23978.62</v>
      </c>
      <c r="J294" s="96">
        <v>23978.62</v>
      </c>
      <c r="K294" s="96">
        <v>23978.62</v>
      </c>
      <c r="L294" s="96">
        <v>23978.62</v>
      </c>
      <c r="M294" s="96">
        <v>23978.62</v>
      </c>
      <c r="N294" s="96">
        <v>23978.62</v>
      </c>
      <c r="O294" s="96">
        <v>23978.62</v>
      </c>
      <c r="P294" s="96">
        <v>23978.62</v>
      </c>
      <c r="Q294" s="96">
        <v>23978.639999999999</v>
      </c>
      <c r="R294" s="97">
        <f t="shared" si="4"/>
        <v>287743.46000000002</v>
      </c>
    </row>
    <row r="295" spans="1:18" s="98" customFormat="1" ht="15" customHeight="1">
      <c r="A295" s="92">
        <v>9003</v>
      </c>
      <c r="B295" s="93" t="s">
        <v>215</v>
      </c>
      <c r="C295" s="94">
        <v>2</v>
      </c>
      <c r="D295" s="92">
        <v>14103</v>
      </c>
      <c r="E295" s="95" t="s">
        <v>138</v>
      </c>
      <c r="F295" s="96">
        <v>1292.5</v>
      </c>
      <c r="G295" s="96">
        <v>1292.5</v>
      </c>
      <c r="H295" s="96">
        <v>1292.5</v>
      </c>
      <c r="I295" s="96">
        <v>1292.5</v>
      </c>
      <c r="J295" s="96">
        <v>1292.5</v>
      </c>
      <c r="K295" s="96">
        <v>1292.5</v>
      </c>
      <c r="L295" s="96">
        <v>1292.5</v>
      </c>
      <c r="M295" s="96">
        <v>1292.5</v>
      </c>
      <c r="N295" s="96">
        <v>1292.5</v>
      </c>
      <c r="O295" s="96">
        <v>1292.5</v>
      </c>
      <c r="P295" s="96">
        <v>1292.5</v>
      </c>
      <c r="Q295" s="96">
        <v>1292.58</v>
      </c>
      <c r="R295" s="97">
        <f t="shared" si="4"/>
        <v>15510.08</v>
      </c>
    </row>
    <row r="296" spans="1:18" s="98" customFormat="1" ht="15" customHeight="1">
      <c r="A296" s="92">
        <v>9003</v>
      </c>
      <c r="B296" s="93" t="s">
        <v>215</v>
      </c>
      <c r="C296" s="94">
        <v>2</v>
      </c>
      <c r="D296" s="92">
        <v>15201</v>
      </c>
      <c r="E296" s="95" t="s">
        <v>139</v>
      </c>
      <c r="F296" s="96">
        <v>915.2</v>
      </c>
      <c r="G296" s="96">
        <v>915.2</v>
      </c>
      <c r="H296" s="96">
        <v>915.2</v>
      </c>
      <c r="I296" s="96">
        <v>915.2</v>
      </c>
      <c r="J296" s="96">
        <v>915.2</v>
      </c>
      <c r="K296" s="96">
        <v>915.2</v>
      </c>
      <c r="L296" s="96">
        <v>915.2</v>
      </c>
      <c r="M296" s="96">
        <v>915.2</v>
      </c>
      <c r="N296" s="96">
        <v>915.2</v>
      </c>
      <c r="O296" s="96">
        <v>915.2</v>
      </c>
      <c r="P296" s="96">
        <v>915.2</v>
      </c>
      <c r="Q296" s="96">
        <v>915.2</v>
      </c>
      <c r="R296" s="97">
        <f t="shared" si="4"/>
        <v>10982.400000000001</v>
      </c>
    </row>
    <row r="297" spans="1:18" s="98" customFormat="1" ht="15" customHeight="1">
      <c r="A297" s="92">
        <v>9003</v>
      </c>
      <c r="B297" s="93" t="s">
        <v>215</v>
      </c>
      <c r="C297" s="94">
        <v>2</v>
      </c>
      <c r="D297" s="92">
        <v>15401</v>
      </c>
      <c r="E297" s="95" t="s">
        <v>140</v>
      </c>
      <c r="F297" s="96">
        <v>3741.16</v>
      </c>
      <c r="G297" s="96">
        <v>3741.16</v>
      </c>
      <c r="H297" s="96">
        <v>3741.16</v>
      </c>
      <c r="I297" s="96">
        <v>3741.16</v>
      </c>
      <c r="J297" s="96">
        <v>3741.16</v>
      </c>
      <c r="K297" s="96">
        <v>3741.16</v>
      </c>
      <c r="L297" s="96">
        <v>3741.16</v>
      </c>
      <c r="M297" s="96">
        <v>3741.16</v>
      </c>
      <c r="N297" s="96">
        <v>3741.16</v>
      </c>
      <c r="O297" s="96">
        <v>3741.16</v>
      </c>
      <c r="P297" s="96">
        <v>3741.16</v>
      </c>
      <c r="Q297" s="96">
        <v>3741.27</v>
      </c>
      <c r="R297" s="97">
        <f t="shared" si="4"/>
        <v>44894.030000000006</v>
      </c>
    </row>
    <row r="298" spans="1:18" s="98" customFormat="1" ht="15" customHeight="1">
      <c r="A298" s="92">
        <v>9003</v>
      </c>
      <c r="B298" s="93" t="s">
        <v>215</v>
      </c>
      <c r="C298" s="94">
        <v>2</v>
      </c>
      <c r="D298" s="92">
        <v>15404</v>
      </c>
      <c r="E298" s="95" t="s">
        <v>142</v>
      </c>
      <c r="F298" s="96">
        <v>7986</v>
      </c>
      <c r="G298" s="96">
        <v>7986</v>
      </c>
      <c r="H298" s="96">
        <v>7986</v>
      </c>
      <c r="I298" s="96">
        <v>7986</v>
      </c>
      <c r="J298" s="96">
        <v>7986</v>
      </c>
      <c r="K298" s="96">
        <v>7986</v>
      </c>
      <c r="L298" s="96">
        <v>7986</v>
      </c>
      <c r="M298" s="96">
        <v>7986</v>
      </c>
      <c r="N298" s="96">
        <v>7986</v>
      </c>
      <c r="O298" s="96">
        <v>7986</v>
      </c>
      <c r="P298" s="96">
        <v>7986</v>
      </c>
      <c r="Q298" s="96">
        <v>7986.04</v>
      </c>
      <c r="R298" s="97">
        <f t="shared" si="4"/>
        <v>95832.04</v>
      </c>
    </row>
    <row r="299" spans="1:18" s="98" customFormat="1" ht="15" customHeight="1">
      <c r="A299" s="92">
        <v>9003</v>
      </c>
      <c r="B299" s="93" t="s">
        <v>215</v>
      </c>
      <c r="C299" s="94">
        <v>2</v>
      </c>
      <c r="D299" s="92">
        <v>15405</v>
      </c>
      <c r="E299" s="95" t="s">
        <v>143</v>
      </c>
      <c r="F299" s="96">
        <v>2185.6799999999998</v>
      </c>
      <c r="G299" s="96">
        <v>2185.6799999999998</v>
      </c>
      <c r="H299" s="96">
        <v>2185.6799999999998</v>
      </c>
      <c r="I299" s="96">
        <v>2185.6799999999998</v>
      </c>
      <c r="J299" s="96">
        <v>2185.6799999999998</v>
      </c>
      <c r="K299" s="96">
        <v>2185.6799999999998</v>
      </c>
      <c r="L299" s="96">
        <v>2185.6799999999998</v>
      </c>
      <c r="M299" s="96">
        <v>2185.6799999999998</v>
      </c>
      <c r="N299" s="96">
        <v>2185.6799999999998</v>
      </c>
      <c r="O299" s="96">
        <v>2185.6799999999998</v>
      </c>
      <c r="P299" s="96">
        <v>2185.6799999999998</v>
      </c>
      <c r="Q299" s="96">
        <v>2185.6799999999998</v>
      </c>
      <c r="R299" s="97">
        <f t="shared" si="4"/>
        <v>26228.16</v>
      </c>
    </row>
    <row r="300" spans="1:18" s="98" customFormat="1" ht="15" customHeight="1">
      <c r="A300" s="92">
        <v>9003</v>
      </c>
      <c r="B300" s="93" t="s">
        <v>215</v>
      </c>
      <c r="C300" s="94">
        <v>2</v>
      </c>
      <c r="D300" s="92">
        <v>15407</v>
      </c>
      <c r="E300" s="95" t="s">
        <v>144</v>
      </c>
      <c r="F300" s="99">
        <v>1572.11</v>
      </c>
      <c r="G300" s="99">
        <v>1572.11</v>
      </c>
      <c r="H300" s="99">
        <v>1572.11</v>
      </c>
      <c r="I300" s="99">
        <v>1572.11</v>
      </c>
      <c r="J300" s="99">
        <v>1572.11</v>
      </c>
      <c r="K300" s="99">
        <v>1572.11</v>
      </c>
      <c r="L300" s="99">
        <v>1572.11</v>
      </c>
      <c r="M300" s="99">
        <v>1572.11</v>
      </c>
      <c r="N300" s="99">
        <v>1572.11</v>
      </c>
      <c r="O300" s="99">
        <v>1572.11</v>
      </c>
      <c r="P300" s="99">
        <v>1572.11</v>
      </c>
      <c r="Q300" s="99">
        <v>1572.14</v>
      </c>
      <c r="R300" s="97">
        <f t="shared" si="4"/>
        <v>18865.350000000002</v>
      </c>
    </row>
    <row r="301" spans="1:18" s="98" customFormat="1" ht="15" customHeight="1">
      <c r="A301" s="92">
        <v>9003</v>
      </c>
      <c r="B301" s="93" t="s">
        <v>215</v>
      </c>
      <c r="C301" s="94">
        <v>2</v>
      </c>
      <c r="D301" s="92">
        <v>15902</v>
      </c>
      <c r="E301" s="95" t="s">
        <v>145</v>
      </c>
      <c r="F301" s="96">
        <v>0</v>
      </c>
      <c r="G301" s="96">
        <v>0</v>
      </c>
      <c r="H301" s="96">
        <v>0</v>
      </c>
      <c r="I301" s="96">
        <v>0</v>
      </c>
      <c r="J301" s="96">
        <v>0</v>
      </c>
      <c r="K301" s="96">
        <v>0</v>
      </c>
      <c r="L301" s="96">
        <v>0</v>
      </c>
      <c r="M301" s="96">
        <v>450</v>
      </c>
      <c r="N301" s="96">
        <v>0</v>
      </c>
      <c r="O301" s="96">
        <v>0</v>
      </c>
      <c r="P301" s="96">
        <v>0</v>
      </c>
      <c r="Q301" s="96">
        <v>0</v>
      </c>
      <c r="R301" s="97">
        <f t="shared" si="4"/>
        <v>450</v>
      </c>
    </row>
    <row r="302" spans="1:18" s="98" customFormat="1" ht="15" customHeight="1">
      <c r="A302" s="92">
        <v>9003</v>
      </c>
      <c r="B302" s="93" t="s">
        <v>215</v>
      </c>
      <c r="C302" s="94">
        <v>2</v>
      </c>
      <c r="D302" s="92">
        <v>15903</v>
      </c>
      <c r="E302" s="95" t="s">
        <v>146</v>
      </c>
      <c r="F302" s="96">
        <v>0</v>
      </c>
      <c r="G302" s="96">
        <v>0</v>
      </c>
      <c r="H302" s="96">
        <v>0</v>
      </c>
      <c r="I302" s="96">
        <v>0</v>
      </c>
      <c r="J302" s="96">
        <v>0</v>
      </c>
      <c r="K302" s="96">
        <v>0</v>
      </c>
      <c r="L302" s="96">
        <v>0</v>
      </c>
      <c r="M302" s="96">
        <v>24000</v>
      </c>
      <c r="N302" s="96"/>
      <c r="O302" s="96"/>
      <c r="P302" s="96">
        <v>0</v>
      </c>
      <c r="Q302" s="96">
        <v>0</v>
      </c>
      <c r="R302" s="97">
        <f t="shared" si="4"/>
        <v>24000</v>
      </c>
    </row>
    <row r="303" spans="1:18" s="98" customFormat="1" ht="15" customHeight="1">
      <c r="A303" s="92">
        <v>9003</v>
      </c>
      <c r="B303" s="93" t="s">
        <v>215</v>
      </c>
      <c r="C303" s="94">
        <v>2</v>
      </c>
      <c r="D303" s="92">
        <v>15904</v>
      </c>
      <c r="E303" s="95" t="s">
        <v>147</v>
      </c>
      <c r="F303" s="96">
        <v>0</v>
      </c>
      <c r="G303" s="96">
        <v>0</v>
      </c>
      <c r="H303" s="96">
        <v>0</v>
      </c>
      <c r="I303" s="96">
        <v>0</v>
      </c>
      <c r="J303" s="96">
        <v>29400</v>
      </c>
      <c r="K303" s="96">
        <v>0</v>
      </c>
      <c r="L303" s="96">
        <v>0</v>
      </c>
      <c r="M303" s="96">
        <v>0</v>
      </c>
      <c r="N303" s="96">
        <v>0</v>
      </c>
      <c r="O303" s="96">
        <v>0</v>
      </c>
      <c r="P303" s="96">
        <v>0</v>
      </c>
      <c r="Q303" s="96">
        <v>0</v>
      </c>
      <c r="R303" s="97">
        <f t="shared" si="4"/>
        <v>29400</v>
      </c>
    </row>
    <row r="304" spans="1:18" s="98" customFormat="1" ht="15" customHeight="1">
      <c r="A304" s="92">
        <v>9003</v>
      </c>
      <c r="B304" s="93" t="s">
        <v>215</v>
      </c>
      <c r="C304" s="94">
        <v>2</v>
      </c>
      <c r="D304" s="92">
        <v>15905</v>
      </c>
      <c r="E304" s="95" t="s">
        <v>148</v>
      </c>
      <c r="F304" s="96">
        <v>0</v>
      </c>
      <c r="G304" s="96">
        <v>0</v>
      </c>
      <c r="H304" s="96">
        <v>0</v>
      </c>
      <c r="I304" s="96">
        <v>0</v>
      </c>
      <c r="J304" s="96">
        <v>0</v>
      </c>
      <c r="K304" s="96">
        <v>1200</v>
      </c>
      <c r="L304" s="96">
        <v>0</v>
      </c>
      <c r="M304" s="96">
        <v>0</v>
      </c>
      <c r="N304" s="96">
        <v>0</v>
      </c>
      <c r="O304" s="96">
        <v>0</v>
      </c>
      <c r="P304" s="96">
        <v>0</v>
      </c>
      <c r="Q304" s="96">
        <v>0</v>
      </c>
      <c r="R304" s="97">
        <f t="shared" si="4"/>
        <v>1200</v>
      </c>
    </row>
    <row r="305" spans="1:18" s="98" customFormat="1" ht="15" customHeight="1">
      <c r="A305" s="94">
        <v>9003</v>
      </c>
      <c r="B305" s="93" t="s">
        <v>215</v>
      </c>
      <c r="C305" s="94">
        <v>2</v>
      </c>
      <c r="D305" s="94">
        <v>21101</v>
      </c>
      <c r="E305" s="93" t="s">
        <v>150</v>
      </c>
      <c r="F305" s="99">
        <v>500</v>
      </c>
      <c r="G305" s="99">
        <v>500</v>
      </c>
      <c r="H305" s="99">
        <v>500</v>
      </c>
      <c r="I305" s="99">
        <v>500</v>
      </c>
      <c r="J305" s="99">
        <v>500</v>
      </c>
      <c r="K305" s="99">
        <v>500</v>
      </c>
      <c r="L305" s="99">
        <v>500</v>
      </c>
      <c r="M305" s="99">
        <v>500</v>
      </c>
      <c r="N305" s="99">
        <v>500</v>
      </c>
      <c r="O305" s="99">
        <v>500</v>
      </c>
      <c r="P305" s="99">
        <v>500</v>
      </c>
      <c r="Q305" s="99">
        <v>500</v>
      </c>
      <c r="R305" s="97">
        <f t="shared" si="4"/>
        <v>6000</v>
      </c>
    </row>
    <row r="306" spans="1:18" s="98" customFormat="1" ht="15" customHeight="1">
      <c r="A306" s="94">
        <v>9003</v>
      </c>
      <c r="B306" s="93" t="s">
        <v>215</v>
      </c>
      <c r="C306" s="94">
        <v>2</v>
      </c>
      <c r="D306" s="94">
        <v>21401</v>
      </c>
      <c r="E306" s="93" t="s">
        <v>151</v>
      </c>
      <c r="F306" s="99">
        <v>1000</v>
      </c>
      <c r="G306" s="99"/>
      <c r="H306" s="99"/>
      <c r="I306" s="99"/>
      <c r="J306" s="99">
        <v>500</v>
      </c>
      <c r="K306" s="99"/>
      <c r="L306" s="99"/>
      <c r="M306" s="99">
        <v>500</v>
      </c>
      <c r="N306" s="99"/>
      <c r="O306" s="99"/>
      <c r="P306" s="99">
        <v>500</v>
      </c>
      <c r="Q306" s="99"/>
      <c r="R306" s="97">
        <f t="shared" si="4"/>
        <v>2500</v>
      </c>
    </row>
    <row r="307" spans="1:18" s="98" customFormat="1" ht="15" customHeight="1">
      <c r="A307" s="94">
        <v>9003</v>
      </c>
      <c r="B307" s="93" t="s">
        <v>215</v>
      </c>
      <c r="C307" s="94">
        <v>2</v>
      </c>
      <c r="D307" s="102">
        <v>25401</v>
      </c>
      <c r="E307" s="104" t="s">
        <v>216</v>
      </c>
      <c r="F307" s="99">
        <v>3000</v>
      </c>
      <c r="G307" s="99">
        <v>3000</v>
      </c>
      <c r="H307" s="99">
        <v>3000</v>
      </c>
      <c r="I307" s="99">
        <v>3000</v>
      </c>
      <c r="J307" s="99">
        <v>3000</v>
      </c>
      <c r="K307" s="99">
        <v>3000</v>
      </c>
      <c r="L307" s="99">
        <v>3000</v>
      </c>
      <c r="M307" s="99">
        <v>3000</v>
      </c>
      <c r="N307" s="99">
        <v>3000</v>
      </c>
      <c r="O307" s="99">
        <v>3000</v>
      </c>
      <c r="P307" s="99">
        <v>3000</v>
      </c>
      <c r="Q307" s="99">
        <v>3000</v>
      </c>
      <c r="R307" s="97">
        <f t="shared" si="4"/>
        <v>36000</v>
      </c>
    </row>
    <row r="308" spans="1:18" s="98" customFormat="1" ht="15" customHeight="1">
      <c r="A308" s="94">
        <v>9003</v>
      </c>
      <c r="B308" s="93" t="s">
        <v>215</v>
      </c>
      <c r="C308" s="94">
        <v>2</v>
      </c>
      <c r="D308" s="102">
        <v>25501</v>
      </c>
      <c r="E308" s="104" t="s">
        <v>217</v>
      </c>
      <c r="F308" s="99">
        <v>2000</v>
      </c>
      <c r="G308" s="99">
        <v>2000</v>
      </c>
      <c r="H308" s="99">
        <v>2000</v>
      </c>
      <c r="I308" s="99">
        <v>2000</v>
      </c>
      <c r="J308" s="99">
        <v>2000</v>
      </c>
      <c r="K308" s="99">
        <v>2000</v>
      </c>
      <c r="L308" s="99">
        <v>2000</v>
      </c>
      <c r="M308" s="99">
        <v>2000</v>
      </c>
      <c r="N308" s="99">
        <v>2000</v>
      </c>
      <c r="O308" s="99">
        <v>2000</v>
      </c>
      <c r="P308" s="99">
        <v>2000</v>
      </c>
      <c r="Q308" s="99">
        <v>2000</v>
      </c>
      <c r="R308" s="97">
        <f t="shared" si="4"/>
        <v>24000</v>
      </c>
    </row>
    <row r="309" spans="1:18" s="98" customFormat="1" ht="15" customHeight="1">
      <c r="A309" s="94">
        <v>9003</v>
      </c>
      <c r="B309" s="93" t="s">
        <v>215</v>
      </c>
      <c r="C309" s="94">
        <v>2</v>
      </c>
      <c r="D309" s="94">
        <v>31101</v>
      </c>
      <c r="E309" s="93" t="s">
        <v>157</v>
      </c>
      <c r="F309" s="99">
        <v>899</v>
      </c>
      <c r="G309" s="99">
        <v>899</v>
      </c>
      <c r="H309" s="99">
        <v>899</v>
      </c>
      <c r="I309" s="99">
        <v>899</v>
      </c>
      <c r="J309" s="99">
        <v>899</v>
      </c>
      <c r="K309" s="99">
        <v>899</v>
      </c>
      <c r="L309" s="99">
        <v>899</v>
      </c>
      <c r="M309" s="99">
        <v>899</v>
      </c>
      <c r="N309" s="99">
        <v>899</v>
      </c>
      <c r="O309" s="99">
        <v>899</v>
      </c>
      <c r="P309" s="99">
        <v>899</v>
      </c>
      <c r="Q309" s="99">
        <v>899</v>
      </c>
      <c r="R309" s="97">
        <f t="shared" si="4"/>
        <v>10788</v>
      </c>
    </row>
    <row r="310" spans="1:18" s="98" customFormat="1" ht="15" customHeight="1">
      <c r="A310" s="94">
        <v>9003</v>
      </c>
      <c r="B310" s="93" t="s">
        <v>215</v>
      </c>
      <c r="C310" s="94">
        <v>2</v>
      </c>
      <c r="D310" s="94">
        <v>33601</v>
      </c>
      <c r="E310" s="95" t="s">
        <v>204</v>
      </c>
      <c r="F310" s="99">
        <v>2500</v>
      </c>
      <c r="G310" s="99"/>
      <c r="H310" s="99"/>
      <c r="I310" s="99"/>
      <c r="J310" s="99"/>
      <c r="K310" s="99"/>
      <c r="L310" s="99">
        <v>2500</v>
      </c>
      <c r="M310" s="99"/>
      <c r="N310" s="99"/>
      <c r="O310" s="99"/>
      <c r="P310" s="99"/>
      <c r="Q310" s="99"/>
      <c r="R310" s="97">
        <f t="shared" si="4"/>
        <v>5000</v>
      </c>
    </row>
    <row r="311" spans="1:18" s="98" customFormat="1" ht="15" customHeight="1">
      <c r="A311" s="94">
        <v>9003</v>
      </c>
      <c r="B311" s="93" t="s">
        <v>215</v>
      </c>
      <c r="C311" s="94">
        <v>2</v>
      </c>
      <c r="D311" s="92">
        <v>39801</v>
      </c>
      <c r="E311" s="95" t="s">
        <v>176</v>
      </c>
      <c r="F311" s="96">
        <v>746.81</v>
      </c>
      <c r="G311" s="96">
        <v>746.81</v>
      </c>
      <c r="H311" s="96">
        <v>746.81</v>
      </c>
      <c r="I311" s="96">
        <v>746.81</v>
      </c>
      <c r="J311" s="96">
        <v>746.81</v>
      </c>
      <c r="K311" s="96">
        <v>746.81</v>
      </c>
      <c r="L311" s="96">
        <v>746.81</v>
      </c>
      <c r="M311" s="96">
        <v>746.81</v>
      </c>
      <c r="N311" s="96">
        <v>746.81</v>
      </c>
      <c r="O311" s="96">
        <v>746.81</v>
      </c>
      <c r="P311" s="96">
        <v>746.81</v>
      </c>
      <c r="Q311" s="96">
        <v>746.82</v>
      </c>
      <c r="R311" s="97">
        <f t="shared" si="4"/>
        <v>8961.7299999999977</v>
      </c>
    </row>
    <row r="312" spans="1:18" s="98" customFormat="1" ht="15" customHeight="1">
      <c r="A312" s="94">
        <v>9003</v>
      </c>
      <c r="B312" s="93" t="s">
        <v>215</v>
      </c>
      <c r="C312" s="94">
        <v>2</v>
      </c>
      <c r="D312" s="92">
        <v>39802</v>
      </c>
      <c r="E312" s="95" t="s">
        <v>177</v>
      </c>
      <c r="F312" s="96">
        <v>746.81</v>
      </c>
      <c r="G312" s="96">
        <v>746.81</v>
      </c>
      <c r="H312" s="96">
        <v>746.81</v>
      </c>
      <c r="I312" s="96">
        <v>746.81</v>
      </c>
      <c r="J312" s="96">
        <v>746.81</v>
      </c>
      <c r="K312" s="96">
        <v>746.81</v>
      </c>
      <c r="L312" s="96">
        <v>746.81</v>
      </c>
      <c r="M312" s="96">
        <v>746.81</v>
      </c>
      <c r="N312" s="96">
        <v>746.81</v>
      </c>
      <c r="O312" s="96">
        <v>746.81</v>
      </c>
      <c r="P312" s="96">
        <v>746.81</v>
      </c>
      <c r="Q312" s="96">
        <v>746.82</v>
      </c>
      <c r="R312" s="97">
        <f t="shared" si="4"/>
        <v>8961.7299999999977</v>
      </c>
    </row>
    <row r="313" spans="1:18" s="98" customFormat="1" ht="15" customHeight="1">
      <c r="A313" s="94">
        <v>9003</v>
      </c>
      <c r="B313" s="93" t="s">
        <v>215</v>
      </c>
      <c r="C313" s="94">
        <v>2</v>
      </c>
      <c r="D313" s="92">
        <v>39803</v>
      </c>
      <c r="E313" s="95" t="s">
        <v>178</v>
      </c>
      <c r="F313" s="96">
        <v>4978.7299999999996</v>
      </c>
      <c r="G313" s="96">
        <v>4978.7299999999996</v>
      </c>
      <c r="H313" s="96">
        <v>4978.7299999999996</v>
      </c>
      <c r="I313" s="96">
        <v>4978.7299999999996</v>
      </c>
      <c r="J313" s="96">
        <v>4978.7299999999996</v>
      </c>
      <c r="K313" s="96">
        <v>4978.7299999999996</v>
      </c>
      <c r="L313" s="96">
        <v>4978.7299999999996</v>
      </c>
      <c r="M313" s="96">
        <v>4978.7299999999996</v>
      </c>
      <c r="N313" s="96">
        <v>4978.7299999999996</v>
      </c>
      <c r="O313" s="96">
        <v>4978.7299999999996</v>
      </c>
      <c r="P313" s="96">
        <v>4978.7299999999996</v>
      </c>
      <c r="Q313" s="96">
        <v>4978.82</v>
      </c>
      <c r="R313" s="97">
        <f t="shared" si="4"/>
        <v>59744.849999999984</v>
      </c>
    </row>
    <row r="314" spans="1:18" s="98" customFormat="1" ht="15" customHeight="1">
      <c r="A314" s="94">
        <v>9003</v>
      </c>
      <c r="B314" s="93" t="s">
        <v>215</v>
      </c>
      <c r="C314" s="94">
        <v>2</v>
      </c>
      <c r="D314" s="92">
        <v>39804</v>
      </c>
      <c r="E314" s="95" t="s">
        <v>179</v>
      </c>
      <c r="F314" s="96">
        <v>746.81</v>
      </c>
      <c r="G314" s="96">
        <v>746.81</v>
      </c>
      <c r="H314" s="96">
        <v>746.81</v>
      </c>
      <c r="I314" s="96">
        <v>746.81</v>
      </c>
      <c r="J314" s="96">
        <v>746.81</v>
      </c>
      <c r="K314" s="96">
        <v>746.81</v>
      </c>
      <c r="L314" s="96">
        <v>746.81</v>
      </c>
      <c r="M314" s="96">
        <v>746.81</v>
      </c>
      <c r="N314" s="96">
        <v>746.81</v>
      </c>
      <c r="O314" s="96">
        <v>746.81</v>
      </c>
      <c r="P314" s="96">
        <v>746.81</v>
      </c>
      <c r="Q314" s="96">
        <v>746.82</v>
      </c>
      <c r="R314" s="97">
        <f t="shared" si="4"/>
        <v>8961.7299999999977</v>
      </c>
    </row>
    <row r="315" spans="1:18" s="98" customFormat="1" ht="15" customHeight="1">
      <c r="A315" s="92">
        <v>9004</v>
      </c>
      <c r="B315" s="93" t="s">
        <v>218</v>
      </c>
      <c r="C315" s="94">
        <v>2</v>
      </c>
      <c r="D315" s="92">
        <v>11301</v>
      </c>
      <c r="E315" s="95" t="s">
        <v>128</v>
      </c>
      <c r="F315" s="96">
        <v>323509.51</v>
      </c>
      <c r="G315" s="96">
        <v>323509.51</v>
      </c>
      <c r="H315" s="96">
        <v>323509.51</v>
      </c>
      <c r="I315" s="96">
        <v>323509.51</v>
      </c>
      <c r="J315" s="96">
        <v>323509.51</v>
      </c>
      <c r="K315" s="96">
        <v>323509.51</v>
      </c>
      <c r="L315" s="96">
        <v>323509.51</v>
      </c>
      <c r="M315" s="96">
        <v>323509.51</v>
      </c>
      <c r="N315" s="96">
        <v>323509.51</v>
      </c>
      <c r="O315" s="96">
        <v>323509.51</v>
      </c>
      <c r="P315" s="96">
        <v>323509.51</v>
      </c>
      <c r="Q315" s="96">
        <v>323509.56</v>
      </c>
      <c r="R315" s="97">
        <f t="shared" si="4"/>
        <v>3882114.1699999995</v>
      </c>
    </row>
    <row r="316" spans="1:18" s="98" customFormat="1" ht="15" customHeight="1">
      <c r="A316" s="92">
        <v>9004</v>
      </c>
      <c r="B316" s="93" t="s">
        <v>218</v>
      </c>
      <c r="C316" s="94">
        <v>2</v>
      </c>
      <c r="D316" s="92">
        <v>11302</v>
      </c>
      <c r="E316" s="95" t="s">
        <v>129</v>
      </c>
      <c r="F316" s="96">
        <v>323509.51</v>
      </c>
      <c r="G316" s="96">
        <v>323509.51</v>
      </c>
      <c r="H316" s="96">
        <v>323509.51</v>
      </c>
      <c r="I316" s="96">
        <v>323509.51</v>
      </c>
      <c r="J316" s="96">
        <v>323509.51</v>
      </c>
      <c r="K316" s="96">
        <v>323509.51</v>
      </c>
      <c r="L316" s="96">
        <v>323509.51</v>
      </c>
      <c r="M316" s="96">
        <v>323509.51</v>
      </c>
      <c r="N316" s="96">
        <v>323509.51</v>
      </c>
      <c r="O316" s="96">
        <v>323509.51</v>
      </c>
      <c r="P316" s="96">
        <v>323509.51</v>
      </c>
      <c r="Q316" s="96">
        <v>323509.56</v>
      </c>
      <c r="R316" s="97">
        <f t="shared" si="4"/>
        <v>3882114.1699999995</v>
      </c>
    </row>
    <row r="317" spans="1:18" s="98" customFormat="1" ht="15" customHeight="1">
      <c r="A317" s="92">
        <v>9004</v>
      </c>
      <c r="B317" s="93" t="s">
        <v>218</v>
      </c>
      <c r="C317" s="94">
        <v>2</v>
      </c>
      <c r="D317" s="92">
        <v>11303</v>
      </c>
      <c r="E317" s="95" t="s">
        <v>130</v>
      </c>
      <c r="F317" s="96">
        <v>14333.47</v>
      </c>
      <c r="G317" s="96">
        <v>14333.47</v>
      </c>
      <c r="H317" s="96">
        <v>14333.47</v>
      </c>
      <c r="I317" s="96">
        <v>14333.47</v>
      </c>
      <c r="J317" s="96">
        <v>14333.47</v>
      </c>
      <c r="K317" s="96">
        <v>14333.47</v>
      </c>
      <c r="L317" s="96">
        <v>14333.47</v>
      </c>
      <c r="M317" s="96">
        <v>14333.47</v>
      </c>
      <c r="N317" s="96">
        <v>14333.47</v>
      </c>
      <c r="O317" s="96">
        <v>14333.47</v>
      </c>
      <c r="P317" s="96">
        <v>14333.47</v>
      </c>
      <c r="Q317" s="96">
        <v>14333.57</v>
      </c>
      <c r="R317" s="97">
        <f t="shared" si="4"/>
        <v>172001.74</v>
      </c>
    </row>
    <row r="318" spans="1:18" s="98" customFormat="1" ht="15" customHeight="1">
      <c r="A318" s="92">
        <v>9004</v>
      </c>
      <c r="B318" s="93" t="s">
        <v>218</v>
      </c>
      <c r="C318" s="94">
        <v>2</v>
      </c>
      <c r="D318" s="92">
        <v>11304</v>
      </c>
      <c r="E318" s="95" t="s">
        <v>131</v>
      </c>
      <c r="F318" s="96">
        <v>209247.19</v>
      </c>
      <c r="G318" s="96">
        <v>209247.19</v>
      </c>
      <c r="H318" s="96">
        <v>209247.19</v>
      </c>
      <c r="I318" s="96">
        <v>209247.19</v>
      </c>
      <c r="J318" s="96">
        <v>209247.19</v>
      </c>
      <c r="K318" s="96">
        <v>209247.19</v>
      </c>
      <c r="L318" s="96">
        <v>209247.19</v>
      </c>
      <c r="M318" s="96">
        <v>209247.19</v>
      </c>
      <c r="N318" s="96">
        <v>209247.19</v>
      </c>
      <c r="O318" s="96">
        <v>209247.19</v>
      </c>
      <c r="P318" s="96">
        <v>209247.19</v>
      </c>
      <c r="Q318" s="96">
        <v>209247.19</v>
      </c>
      <c r="R318" s="97">
        <f t="shared" si="4"/>
        <v>2510966.2799999998</v>
      </c>
    </row>
    <row r="319" spans="1:18" s="98" customFormat="1" ht="15" customHeight="1">
      <c r="A319" s="92">
        <v>9004</v>
      </c>
      <c r="B319" s="93" t="s">
        <v>218</v>
      </c>
      <c r="C319" s="94">
        <v>2</v>
      </c>
      <c r="D319" s="92">
        <v>13101</v>
      </c>
      <c r="E319" s="95" t="s">
        <v>132</v>
      </c>
      <c r="F319" s="96">
        <v>17944.3</v>
      </c>
      <c r="G319" s="96">
        <v>17944.3</v>
      </c>
      <c r="H319" s="96">
        <v>17944.3</v>
      </c>
      <c r="I319" s="96">
        <v>17944.3</v>
      </c>
      <c r="J319" s="96">
        <v>17944.3</v>
      </c>
      <c r="K319" s="96">
        <v>17944.3</v>
      </c>
      <c r="L319" s="96">
        <v>17944.3</v>
      </c>
      <c r="M319" s="96">
        <v>17944.3</v>
      </c>
      <c r="N319" s="96">
        <v>17944.3</v>
      </c>
      <c r="O319" s="96">
        <v>17944.3</v>
      </c>
      <c r="P319" s="96">
        <v>17944.3</v>
      </c>
      <c r="Q319" s="96">
        <v>17944.3</v>
      </c>
      <c r="R319" s="97">
        <f t="shared" si="4"/>
        <v>215331.59999999995</v>
      </c>
    </row>
    <row r="320" spans="1:18" s="98" customFormat="1" ht="15" customHeight="1">
      <c r="A320" s="92">
        <v>9004</v>
      </c>
      <c r="B320" s="93" t="s">
        <v>218</v>
      </c>
      <c r="C320" s="94">
        <v>2</v>
      </c>
      <c r="D320" s="92">
        <v>13201</v>
      </c>
      <c r="E320" s="95" t="s">
        <v>133</v>
      </c>
      <c r="F320" s="96">
        <v>15407.19</v>
      </c>
      <c r="G320" s="96">
        <v>15407.19</v>
      </c>
      <c r="H320" s="96">
        <v>15407.19</v>
      </c>
      <c r="I320" s="96">
        <v>15407.19</v>
      </c>
      <c r="J320" s="96">
        <v>15407.19</v>
      </c>
      <c r="K320" s="96">
        <v>15407.19</v>
      </c>
      <c r="L320" s="96">
        <v>15407.19</v>
      </c>
      <c r="M320" s="96">
        <v>15407.19</v>
      </c>
      <c r="N320" s="96">
        <v>15407.19</v>
      </c>
      <c r="O320" s="96">
        <v>15407.19</v>
      </c>
      <c r="P320" s="96">
        <v>15407.19</v>
      </c>
      <c r="Q320" s="96">
        <v>15407.25</v>
      </c>
      <c r="R320" s="97">
        <f t="shared" si="4"/>
        <v>184886.34</v>
      </c>
    </row>
    <row r="321" spans="1:18" s="98" customFormat="1" ht="15" customHeight="1">
      <c r="A321" s="92">
        <v>9004</v>
      </c>
      <c r="B321" s="93" t="s">
        <v>218</v>
      </c>
      <c r="C321" s="94">
        <v>2</v>
      </c>
      <c r="D321" s="92">
        <v>13202</v>
      </c>
      <c r="E321" s="95" t="s">
        <v>198</v>
      </c>
      <c r="F321" s="96">
        <v>215.20000000000002</v>
      </c>
      <c r="G321" s="96">
        <v>215.20000000000002</v>
      </c>
      <c r="H321" s="96">
        <v>215.20000000000002</v>
      </c>
      <c r="I321" s="96">
        <v>215.20000000000002</v>
      </c>
      <c r="J321" s="96">
        <v>215.20000000000002</v>
      </c>
      <c r="K321" s="96">
        <v>215.20000000000002</v>
      </c>
      <c r="L321" s="96">
        <v>215.20000000000002</v>
      </c>
      <c r="M321" s="96">
        <v>215.20000000000002</v>
      </c>
      <c r="N321" s="96">
        <v>215.20000000000002</v>
      </c>
      <c r="O321" s="96">
        <v>215.20000000000002</v>
      </c>
      <c r="P321" s="96">
        <v>215.20000000000002</v>
      </c>
      <c r="Q321" s="96">
        <v>215.20000000000002</v>
      </c>
      <c r="R321" s="97">
        <f t="shared" si="4"/>
        <v>2582.3999999999996</v>
      </c>
    </row>
    <row r="322" spans="1:18" s="98" customFormat="1" ht="15" customHeight="1">
      <c r="A322" s="92">
        <v>9004</v>
      </c>
      <c r="B322" s="93" t="s">
        <v>218</v>
      </c>
      <c r="C322" s="94">
        <v>2</v>
      </c>
      <c r="D322" s="92">
        <v>13203</v>
      </c>
      <c r="E322" s="95" t="s">
        <v>134</v>
      </c>
      <c r="F322" s="96">
        <v>200987.68</v>
      </c>
      <c r="G322" s="96">
        <v>200987.68</v>
      </c>
      <c r="H322" s="96">
        <v>200987.68</v>
      </c>
      <c r="I322" s="96">
        <v>200987.68</v>
      </c>
      <c r="J322" s="96">
        <v>200987.68</v>
      </c>
      <c r="K322" s="96">
        <v>200987.68</v>
      </c>
      <c r="L322" s="96">
        <v>200987.68</v>
      </c>
      <c r="M322" s="96">
        <v>200987.68</v>
      </c>
      <c r="N322" s="96">
        <v>200987.68</v>
      </c>
      <c r="O322" s="96">
        <v>200987.68</v>
      </c>
      <c r="P322" s="96">
        <v>200987.68</v>
      </c>
      <c r="Q322" s="96">
        <v>200987.66</v>
      </c>
      <c r="R322" s="97">
        <f t="shared" si="4"/>
        <v>2411852.1399999997</v>
      </c>
    </row>
    <row r="323" spans="1:18" s="98" customFormat="1" ht="15" customHeight="1">
      <c r="A323" s="92">
        <v>9004</v>
      </c>
      <c r="B323" s="93" t="s">
        <v>218</v>
      </c>
      <c r="C323" s="94">
        <v>2</v>
      </c>
      <c r="D323" s="92">
        <v>13401</v>
      </c>
      <c r="E323" s="95" t="s">
        <v>135</v>
      </c>
      <c r="F323" s="96">
        <v>26778.74</v>
      </c>
      <c r="G323" s="96">
        <v>26778.74</v>
      </c>
      <c r="H323" s="96">
        <v>26778.74</v>
      </c>
      <c r="I323" s="96">
        <v>26778.74</v>
      </c>
      <c r="J323" s="96">
        <v>26778.74</v>
      </c>
      <c r="K323" s="96">
        <v>26778.74</v>
      </c>
      <c r="L323" s="96">
        <v>26778.74</v>
      </c>
      <c r="M323" s="96">
        <v>26778.74</v>
      </c>
      <c r="N323" s="96">
        <v>26778.74</v>
      </c>
      <c r="O323" s="96">
        <v>26778.74</v>
      </c>
      <c r="P323" s="96">
        <v>26778.74</v>
      </c>
      <c r="Q323" s="96">
        <v>26778.74</v>
      </c>
      <c r="R323" s="97">
        <f t="shared" si="4"/>
        <v>321344.87999999995</v>
      </c>
    </row>
    <row r="324" spans="1:18" s="98" customFormat="1" ht="15" customHeight="1">
      <c r="A324" s="92">
        <v>9004</v>
      </c>
      <c r="B324" s="93" t="s">
        <v>218</v>
      </c>
      <c r="C324" s="94">
        <v>2</v>
      </c>
      <c r="D324" s="92">
        <v>14101</v>
      </c>
      <c r="E324" s="95" t="s">
        <v>136</v>
      </c>
      <c r="F324" s="96">
        <v>24197.13</v>
      </c>
      <c r="G324" s="96">
        <v>24197.13</v>
      </c>
      <c r="H324" s="96">
        <v>24197.13</v>
      </c>
      <c r="I324" s="96">
        <v>24197.13</v>
      </c>
      <c r="J324" s="96">
        <v>24197.13</v>
      </c>
      <c r="K324" s="96">
        <v>24197.13</v>
      </c>
      <c r="L324" s="96">
        <v>24197.13</v>
      </c>
      <c r="M324" s="96">
        <v>24197.13</v>
      </c>
      <c r="N324" s="96">
        <v>24197.13</v>
      </c>
      <c r="O324" s="96">
        <v>24197.13</v>
      </c>
      <c r="P324" s="96">
        <v>24197.13</v>
      </c>
      <c r="Q324" s="96">
        <v>24197.15</v>
      </c>
      <c r="R324" s="97">
        <f t="shared" si="4"/>
        <v>290365.58</v>
      </c>
    </row>
    <row r="325" spans="1:18" s="98" customFormat="1" ht="15" customHeight="1">
      <c r="A325" s="92">
        <v>9004</v>
      </c>
      <c r="B325" s="93" t="s">
        <v>218</v>
      </c>
      <c r="C325" s="94">
        <v>2</v>
      </c>
      <c r="D325" s="92">
        <v>14102</v>
      </c>
      <c r="E325" s="95" t="s">
        <v>137</v>
      </c>
      <c r="F325" s="96">
        <v>91683.839999999997</v>
      </c>
      <c r="G325" s="96">
        <v>91683.839999999997</v>
      </c>
      <c r="H325" s="96">
        <v>91683.839999999997</v>
      </c>
      <c r="I325" s="96">
        <v>91683.839999999997</v>
      </c>
      <c r="J325" s="96">
        <v>91683.839999999997</v>
      </c>
      <c r="K325" s="96">
        <v>91683.839999999997</v>
      </c>
      <c r="L325" s="96">
        <v>91683.839999999997</v>
      </c>
      <c r="M325" s="96">
        <v>91683.839999999997</v>
      </c>
      <c r="N325" s="96">
        <v>91683.839999999997</v>
      </c>
      <c r="O325" s="96">
        <v>91683.839999999997</v>
      </c>
      <c r="P325" s="96">
        <v>91683.839999999997</v>
      </c>
      <c r="Q325" s="96">
        <v>91683.93</v>
      </c>
      <c r="R325" s="97">
        <f t="shared" si="4"/>
        <v>1100206.1699999997</v>
      </c>
    </row>
    <row r="326" spans="1:18" s="98" customFormat="1" ht="15" customHeight="1">
      <c r="A326" s="92">
        <v>9004</v>
      </c>
      <c r="B326" s="93" t="s">
        <v>218</v>
      </c>
      <c r="C326" s="94">
        <v>2</v>
      </c>
      <c r="D326" s="92">
        <v>14103</v>
      </c>
      <c r="E326" s="95" t="s">
        <v>138</v>
      </c>
      <c r="F326" s="96">
        <v>11664.64</v>
      </c>
      <c r="G326" s="96">
        <v>11664.64</v>
      </c>
      <c r="H326" s="96">
        <v>11664.64</v>
      </c>
      <c r="I326" s="96">
        <v>11664.64</v>
      </c>
      <c r="J326" s="96">
        <v>11664.64</v>
      </c>
      <c r="K326" s="96">
        <v>11664.64</v>
      </c>
      <c r="L326" s="96">
        <v>11664.64</v>
      </c>
      <c r="M326" s="96">
        <v>11664.64</v>
      </c>
      <c r="N326" s="96">
        <v>11664.64</v>
      </c>
      <c r="O326" s="96">
        <v>11664.64</v>
      </c>
      <c r="P326" s="96">
        <v>11664.64</v>
      </c>
      <c r="Q326" s="96">
        <v>11664.69</v>
      </c>
      <c r="R326" s="97">
        <f t="shared" si="4"/>
        <v>139975.72999999998</v>
      </c>
    </row>
    <row r="327" spans="1:18" s="98" customFormat="1" ht="15" customHeight="1">
      <c r="A327" s="92">
        <v>9004</v>
      </c>
      <c r="B327" s="93" t="s">
        <v>218</v>
      </c>
      <c r="C327" s="94">
        <v>2</v>
      </c>
      <c r="D327" s="92">
        <v>15201</v>
      </c>
      <c r="E327" s="95" t="s">
        <v>139</v>
      </c>
      <c r="F327" s="96">
        <v>6131.84</v>
      </c>
      <c r="G327" s="96">
        <v>6131.84</v>
      </c>
      <c r="H327" s="96">
        <v>6131.84</v>
      </c>
      <c r="I327" s="96">
        <v>6131.84</v>
      </c>
      <c r="J327" s="96">
        <v>6131.84</v>
      </c>
      <c r="K327" s="96">
        <v>6131.84</v>
      </c>
      <c r="L327" s="96">
        <v>6131.84</v>
      </c>
      <c r="M327" s="96">
        <v>6131.84</v>
      </c>
      <c r="N327" s="96">
        <v>6131.84</v>
      </c>
      <c r="O327" s="96">
        <v>6131.84</v>
      </c>
      <c r="P327" s="96">
        <v>6131.84</v>
      </c>
      <c r="Q327" s="96">
        <v>6131.84</v>
      </c>
      <c r="R327" s="97">
        <f t="shared" si="4"/>
        <v>73582.079999999987</v>
      </c>
    </row>
    <row r="328" spans="1:18" s="98" customFormat="1" ht="15" customHeight="1">
      <c r="A328" s="92">
        <v>9004</v>
      </c>
      <c r="B328" s="93" t="s">
        <v>218</v>
      </c>
      <c r="C328" s="94">
        <v>2</v>
      </c>
      <c r="D328" s="92">
        <v>15401</v>
      </c>
      <c r="E328" s="95" t="s">
        <v>140</v>
      </c>
      <c r="F328" s="96">
        <v>15840.16</v>
      </c>
      <c r="G328" s="96">
        <v>15840.16</v>
      </c>
      <c r="H328" s="96">
        <v>15840.16</v>
      </c>
      <c r="I328" s="96">
        <v>15840.16</v>
      </c>
      <c r="J328" s="96">
        <v>15840.16</v>
      </c>
      <c r="K328" s="96">
        <v>15840.16</v>
      </c>
      <c r="L328" s="96">
        <v>15840.16</v>
      </c>
      <c r="M328" s="96">
        <v>15840.16</v>
      </c>
      <c r="N328" s="96">
        <v>15840.16</v>
      </c>
      <c r="O328" s="96">
        <v>15840.16</v>
      </c>
      <c r="P328" s="96">
        <v>15840.16</v>
      </c>
      <c r="Q328" s="96">
        <v>15840.26</v>
      </c>
      <c r="R328" s="97">
        <f t="shared" si="4"/>
        <v>190082.02000000002</v>
      </c>
    </row>
    <row r="329" spans="1:18" s="98" customFormat="1" ht="15" customHeight="1">
      <c r="A329" s="92">
        <v>9004</v>
      </c>
      <c r="B329" s="93" t="s">
        <v>218</v>
      </c>
      <c r="C329" s="94">
        <v>2</v>
      </c>
      <c r="D329" s="92">
        <v>15404</v>
      </c>
      <c r="E329" s="95" t="s">
        <v>142</v>
      </c>
      <c r="F329" s="96">
        <v>30643.74</v>
      </c>
      <c r="G329" s="96">
        <v>30643.74</v>
      </c>
      <c r="H329" s="96">
        <v>30643.74</v>
      </c>
      <c r="I329" s="96">
        <v>30643.74</v>
      </c>
      <c r="J329" s="96">
        <v>30643.74</v>
      </c>
      <c r="K329" s="96">
        <v>30643.74</v>
      </c>
      <c r="L329" s="96">
        <v>30643.74</v>
      </c>
      <c r="M329" s="96">
        <v>30643.74</v>
      </c>
      <c r="N329" s="96">
        <v>30643.74</v>
      </c>
      <c r="O329" s="96">
        <v>30643.74</v>
      </c>
      <c r="P329" s="96">
        <v>30643.74</v>
      </c>
      <c r="Q329" s="96">
        <v>30643.8</v>
      </c>
      <c r="R329" s="97">
        <f t="shared" ref="R329:R392" si="5">SUM(F329:Q329)</f>
        <v>367724.93999999994</v>
      </c>
    </row>
    <row r="330" spans="1:18" s="98" customFormat="1" ht="15" customHeight="1">
      <c r="A330" s="92">
        <v>9004</v>
      </c>
      <c r="B330" s="93" t="s">
        <v>218</v>
      </c>
      <c r="C330" s="94">
        <v>2</v>
      </c>
      <c r="D330" s="92">
        <v>15405</v>
      </c>
      <c r="E330" s="95" t="s">
        <v>143</v>
      </c>
      <c r="F330" s="96">
        <v>11769.68</v>
      </c>
      <c r="G330" s="96">
        <v>11769.68</v>
      </c>
      <c r="H330" s="96">
        <v>11769.68</v>
      </c>
      <c r="I330" s="96">
        <v>11769.68</v>
      </c>
      <c r="J330" s="96">
        <v>11769.68</v>
      </c>
      <c r="K330" s="96">
        <v>11769.68</v>
      </c>
      <c r="L330" s="96">
        <v>11769.68</v>
      </c>
      <c r="M330" s="96">
        <v>11769.68</v>
      </c>
      <c r="N330" s="96">
        <v>11769.68</v>
      </c>
      <c r="O330" s="96">
        <v>11769.68</v>
      </c>
      <c r="P330" s="96">
        <v>11769.68</v>
      </c>
      <c r="Q330" s="96">
        <v>11769.68</v>
      </c>
      <c r="R330" s="97">
        <f t="shared" si="5"/>
        <v>141236.15999999997</v>
      </c>
    </row>
    <row r="331" spans="1:18" s="98" customFormat="1" ht="15" customHeight="1">
      <c r="A331" s="92">
        <v>9004</v>
      </c>
      <c r="B331" s="93" t="s">
        <v>218</v>
      </c>
      <c r="C331" s="94">
        <v>2</v>
      </c>
      <c r="D331" s="92">
        <v>15406</v>
      </c>
      <c r="E331" s="95" t="s">
        <v>202</v>
      </c>
      <c r="F331" s="96">
        <v>600</v>
      </c>
      <c r="G331" s="96">
        <v>600</v>
      </c>
      <c r="H331" s="96">
        <v>600</v>
      </c>
      <c r="I331" s="96">
        <v>600</v>
      </c>
      <c r="J331" s="96">
        <v>600</v>
      </c>
      <c r="K331" s="96">
        <v>600</v>
      </c>
      <c r="L331" s="96">
        <v>600</v>
      </c>
      <c r="M331" s="96">
        <v>600</v>
      </c>
      <c r="N331" s="96">
        <v>600</v>
      </c>
      <c r="O331" s="96">
        <v>600</v>
      </c>
      <c r="P331" s="96">
        <v>600</v>
      </c>
      <c r="Q331" s="96">
        <v>600</v>
      </c>
      <c r="R331" s="97">
        <f t="shared" si="5"/>
        <v>7200</v>
      </c>
    </row>
    <row r="332" spans="1:18" s="98" customFormat="1" ht="15" customHeight="1">
      <c r="A332" s="92">
        <v>9004</v>
      </c>
      <c r="B332" s="93" t="s">
        <v>218</v>
      </c>
      <c r="C332" s="94">
        <v>2</v>
      </c>
      <c r="D332" s="92">
        <v>15407</v>
      </c>
      <c r="E332" s="95" t="s">
        <v>144</v>
      </c>
      <c r="F332" s="99">
        <v>8290.66</v>
      </c>
      <c r="G332" s="99">
        <v>8290.66</v>
      </c>
      <c r="H332" s="99">
        <v>8290.66</v>
      </c>
      <c r="I332" s="99">
        <v>8290.66</v>
      </c>
      <c r="J332" s="99">
        <v>8290.66</v>
      </c>
      <c r="K332" s="99">
        <v>8290.66</v>
      </c>
      <c r="L332" s="99">
        <v>8290.66</v>
      </c>
      <c r="M332" s="99">
        <v>8290.66</v>
      </c>
      <c r="N332" s="99">
        <v>8290.66</v>
      </c>
      <c r="O332" s="99">
        <v>8290.66</v>
      </c>
      <c r="P332" s="99">
        <v>8290.66</v>
      </c>
      <c r="Q332" s="99">
        <v>8290.77</v>
      </c>
      <c r="R332" s="97">
        <f t="shared" si="5"/>
        <v>99488.030000000028</v>
      </c>
    </row>
    <row r="333" spans="1:18" s="98" customFormat="1" ht="15" customHeight="1">
      <c r="A333" s="92">
        <v>9004</v>
      </c>
      <c r="B333" s="93" t="s">
        <v>218</v>
      </c>
      <c r="C333" s="94">
        <v>2</v>
      </c>
      <c r="D333" s="92">
        <v>15902</v>
      </c>
      <c r="E333" s="95" t="s">
        <v>145</v>
      </c>
      <c r="F333" s="96">
        <v>0</v>
      </c>
      <c r="G333" s="96">
        <v>5070</v>
      </c>
      <c r="H333" s="96">
        <v>0</v>
      </c>
      <c r="I333" s="96">
        <v>0</v>
      </c>
      <c r="J333" s="96">
        <v>0</v>
      </c>
      <c r="K333" s="96">
        <v>0</v>
      </c>
      <c r="L333" s="96">
        <v>0</v>
      </c>
      <c r="M333" s="96">
        <v>1800</v>
      </c>
      <c r="N333" s="96">
        <v>0</v>
      </c>
      <c r="O333" s="96">
        <v>0</v>
      </c>
      <c r="P333" s="96">
        <v>0</v>
      </c>
      <c r="Q333" s="96">
        <v>0</v>
      </c>
      <c r="R333" s="97">
        <f t="shared" si="5"/>
        <v>6870</v>
      </c>
    </row>
    <row r="334" spans="1:18" s="98" customFormat="1" ht="15" customHeight="1">
      <c r="A334" s="92">
        <v>9004</v>
      </c>
      <c r="B334" s="93" t="s">
        <v>218</v>
      </c>
      <c r="C334" s="94">
        <v>2</v>
      </c>
      <c r="D334" s="92">
        <v>15903</v>
      </c>
      <c r="E334" s="95" t="s">
        <v>146</v>
      </c>
      <c r="F334" s="96">
        <v>0</v>
      </c>
      <c r="G334" s="96">
        <v>0</v>
      </c>
      <c r="H334" s="96">
        <v>0</v>
      </c>
      <c r="I334" s="96">
        <v>0</v>
      </c>
      <c r="J334" s="96">
        <v>0</v>
      </c>
      <c r="K334" s="96">
        <v>0</v>
      </c>
      <c r="L334" s="96">
        <v>0</v>
      </c>
      <c r="M334" s="96">
        <v>160800</v>
      </c>
      <c r="N334" s="96"/>
      <c r="O334" s="96"/>
      <c r="P334" s="96">
        <v>0</v>
      </c>
      <c r="Q334" s="96">
        <v>0</v>
      </c>
      <c r="R334" s="97">
        <f t="shared" si="5"/>
        <v>160800</v>
      </c>
    </row>
    <row r="335" spans="1:18" s="98" customFormat="1" ht="15" customHeight="1">
      <c r="A335" s="92">
        <v>9004</v>
      </c>
      <c r="B335" s="93" t="s">
        <v>218</v>
      </c>
      <c r="C335" s="94">
        <v>2</v>
      </c>
      <c r="D335" s="92">
        <v>15904</v>
      </c>
      <c r="E335" s="95" t="s">
        <v>147</v>
      </c>
      <c r="F335" s="96">
        <v>0</v>
      </c>
      <c r="G335" s="96">
        <v>0</v>
      </c>
      <c r="H335" s="96">
        <v>0</v>
      </c>
      <c r="I335" s="96">
        <v>0</v>
      </c>
      <c r="J335" s="96">
        <v>84000</v>
      </c>
      <c r="K335" s="96">
        <v>0</v>
      </c>
      <c r="L335" s="96">
        <v>0</v>
      </c>
      <c r="M335" s="96">
        <v>0</v>
      </c>
      <c r="N335" s="96">
        <v>0</v>
      </c>
      <c r="O335" s="96">
        <v>0</v>
      </c>
      <c r="P335" s="96">
        <v>0</v>
      </c>
      <c r="Q335" s="96">
        <v>0</v>
      </c>
      <c r="R335" s="97">
        <f t="shared" si="5"/>
        <v>84000</v>
      </c>
    </row>
    <row r="336" spans="1:18" s="98" customFormat="1" ht="15" customHeight="1">
      <c r="A336" s="92">
        <v>9004</v>
      </c>
      <c r="B336" s="93" t="s">
        <v>218</v>
      </c>
      <c r="C336" s="94">
        <v>2</v>
      </c>
      <c r="D336" s="92">
        <v>15905</v>
      </c>
      <c r="E336" s="95" t="s">
        <v>148</v>
      </c>
      <c r="F336" s="96">
        <v>0</v>
      </c>
      <c r="G336" s="96">
        <v>0</v>
      </c>
      <c r="H336" s="96">
        <v>0</v>
      </c>
      <c r="I336" s="96">
        <v>0</v>
      </c>
      <c r="J336" s="96">
        <v>0</v>
      </c>
      <c r="K336" s="96">
        <v>40800</v>
      </c>
      <c r="L336" s="96">
        <v>0</v>
      </c>
      <c r="M336" s="96">
        <v>0</v>
      </c>
      <c r="N336" s="96">
        <v>0</v>
      </c>
      <c r="O336" s="96">
        <v>0</v>
      </c>
      <c r="P336" s="96">
        <v>0</v>
      </c>
      <c r="Q336" s="96">
        <v>0</v>
      </c>
      <c r="R336" s="97">
        <f t="shared" si="5"/>
        <v>40800</v>
      </c>
    </row>
    <row r="337" spans="1:18" s="98" customFormat="1" ht="15" customHeight="1">
      <c r="A337" s="94">
        <v>9004</v>
      </c>
      <c r="B337" s="93" t="s">
        <v>218</v>
      </c>
      <c r="C337" s="94">
        <v>2</v>
      </c>
      <c r="D337" s="94">
        <v>21101</v>
      </c>
      <c r="E337" s="93" t="s">
        <v>150</v>
      </c>
      <c r="F337" s="99">
        <v>1000</v>
      </c>
      <c r="G337" s="99">
        <v>1000</v>
      </c>
      <c r="H337" s="99">
        <v>2500</v>
      </c>
      <c r="I337" s="99">
        <v>1000</v>
      </c>
      <c r="J337" s="99">
        <v>1000</v>
      </c>
      <c r="K337" s="99">
        <v>2500</v>
      </c>
      <c r="L337" s="99">
        <v>1000</v>
      </c>
      <c r="M337" s="99">
        <v>2500</v>
      </c>
      <c r="N337" s="99">
        <v>1000</v>
      </c>
      <c r="O337" s="99">
        <v>1000</v>
      </c>
      <c r="P337" s="99">
        <v>1000</v>
      </c>
      <c r="Q337" s="99">
        <v>1000</v>
      </c>
      <c r="R337" s="97">
        <f t="shared" si="5"/>
        <v>16500</v>
      </c>
    </row>
    <row r="338" spans="1:18" s="98" customFormat="1" ht="15" customHeight="1">
      <c r="A338" s="94">
        <v>9004</v>
      </c>
      <c r="B338" s="93" t="s">
        <v>218</v>
      </c>
      <c r="C338" s="94">
        <v>2</v>
      </c>
      <c r="D338" s="94">
        <v>21401</v>
      </c>
      <c r="E338" s="93" t="s">
        <v>151</v>
      </c>
      <c r="F338" s="99">
        <v>1000</v>
      </c>
      <c r="G338" s="99">
        <v>1000</v>
      </c>
      <c r="H338" s="99">
        <v>2500</v>
      </c>
      <c r="I338" s="99">
        <v>1000</v>
      </c>
      <c r="J338" s="99">
        <v>1000</v>
      </c>
      <c r="K338" s="99">
        <v>2500</v>
      </c>
      <c r="L338" s="99">
        <v>1000</v>
      </c>
      <c r="M338" s="99">
        <v>2500</v>
      </c>
      <c r="N338" s="99">
        <v>1000</v>
      </c>
      <c r="O338" s="99">
        <v>1000</v>
      </c>
      <c r="P338" s="99">
        <v>1000</v>
      </c>
      <c r="Q338" s="99">
        <v>1000</v>
      </c>
      <c r="R338" s="97">
        <f t="shared" si="5"/>
        <v>16500</v>
      </c>
    </row>
    <row r="339" spans="1:18" s="98" customFormat="1" ht="15" customHeight="1">
      <c r="A339" s="94">
        <v>9004</v>
      </c>
      <c r="B339" s="93" t="s">
        <v>218</v>
      </c>
      <c r="C339" s="94">
        <v>2</v>
      </c>
      <c r="D339" s="94">
        <v>21601</v>
      </c>
      <c r="E339" s="93" t="s">
        <v>219</v>
      </c>
      <c r="F339" s="99">
        <v>25000</v>
      </c>
      <c r="G339" s="99">
        <v>25000</v>
      </c>
      <c r="H339" s="99">
        <v>25000</v>
      </c>
      <c r="I339" s="99">
        <v>25000</v>
      </c>
      <c r="J339" s="99">
        <v>25000</v>
      </c>
      <c r="K339" s="99">
        <v>25000</v>
      </c>
      <c r="L339" s="99">
        <v>25000</v>
      </c>
      <c r="M339" s="99">
        <v>25000</v>
      </c>
      <c r="N339" s="99">
        <v>25000</v>
      </c>
      <c r="O339" s="99">
        <v>25000</v>
      </c>
      <c r="P339" s="99">
        <v>25000</v>
      </c>
      <c r="Q339" s="99">
        <v>25000</v>
      </c>
      <c r="R339" s="97">
        <f t="shared" si="5"/>
        <v>300000</v>
      </c>
    </row>
    <row r="340" spans="1:18" s="98" customFormat="1" ht="15" customHeight="1">
      <c r="A340" s="94">
        <v>9004</v>
      </c>
      <c r="B340" s="93" t="s">
        <v>218</v>
      </c>
      <c r="C340" s="94">
        <v>2</v>
      </c>
      <c r="D340" s="94">
        <v>22101</v>
      </c>
      <c r="E340" s="93" t="s">
        <v>152</v>
      </c>
      <c r="F340" s="99">
        <v>18000</v>
      </c>
      <c r="G340" s="99">
        <v>18000</v>
      </c>
      <c r="H340" s="99">
        <v>18000</v>
      </c>
      <c r="I340" s="99">
        <v>18000</v>
      </c>
      <c r="J340" s="99">
        <v>18000</v>
      </c>
      <c r="K340" s="99">
        <v>18000</v>
      </c>
      <c r="L340" s="99">
        <v>18000</v>
      </c>
      <c r="M340" s="99">
        <v>18000</v>
      </c>
      <c r="N340" s="99">
        <v>18000</v>
      </c>
      <c r="O340" s="99">
        <v>18000</v>
      </c>
      <c r="P340" s="99">
        <v>18000</v>
      </c>
      <c r="Q340" s="99">
        <v>18000</v>
      </c>
      <c r="R340" s="97">
        <f t="shared" si="5"/>
        <v>216000</v>
      </c>
    </row>
    <row r="341" spans="1:18" s="98" customFormat="1" ht="15" customHeight="1">
      <c r="A341" s="94">
        <v>9004</v>
      </c>
      <c r="B341" s="93" t="s">
        <v>218</v>
      </c>
      <c r="C341" s="94">
        <v>2</v>
      </c>
      <c r="D341" s="94">
        <v>24601</v>
      </c>
      <c r="E341" s="93" t="s">
        <v>220</v>
      </c>
      <c r="F341" s="99">
        <v>10000</v>
      </c>
      <c r="G341" s="99">
        <v>10000</v>
      </c>
      <c r="H341" s="99">
        <v>10000</v>
      </c>
      <c r="I341" s="99">
        <v>10000</v>
      </c>
      <c r="J341" s="99">
        <v>10000</v>
      </c>
      <c r="K341" s="99">
        <v>10000</v>
      </c>
      <c r="L341" s="99">
        <v>10000</v>
      </c>
      <c r="M341" s="99">
        <v>10000</v>
      </c>
      <c r="N341" s="99">
        <v>10000</v>
      </c>
      <c r="O341" s="99">
        <v>10000</v>
      </c>
      <c r="P341" s="99">
        <v>10000</v>
      </c>
      <c r="Q341" s="99">
        <v>10000</v>
      </c>
      <c r="R341" s="97">
        <f t="shared" si="5"/>
        <v>120000</v>
      </c>
    </row>
    <row r="342" spans="1:18" s="98" customFormat="1" ht="15" customHeight="1">
      <c r="A342" s="94">
        <v>9004</v>
      </c>
      <c r="B342" s="93" t="s">
        <v>218</v>
      </c>
      <c r="C342" s="94">
        <v>2</v>
      </c>
      <c r="D342" s="94">
        <v>24907</v>
      </c>
      <c r="E342" s="95" t="s">
        <v>221</v>
      </c>
      <c r="F342" s="99">
        <v>50000</v>
      </c>
      <c r="G342" s="99"/>
      <c r="H342" s="99"/>
      <c r="I342" s="99"/>
      <c r="J342" s="99"/>
      <c r="K342" s="99"/>
      <c r="L342" s="99"/>
      <c r="M342" s="99"/>
      <c r="N342" s="99"/>
      <c r="O342" s="99">
        <v>50000</v>
      </c>
      <c r="P342" s="99"/>
      <c r="Q342" s="99"/>
      <c r="R342" s="97">
        <f t="shared" si="5"/>
        <v>100000</v>
      </c>
    </row>
    <row r="343" spans="1:18" s="98" customFormat="1" ht="15" customHeight="1">
      <c r="A343" s="94">
        <v>9004</v>
      </c>
      <c r="B343" s="93" t="s">
        <v>218</v>
      </c>
      <c r="C343" s="94">
        <v>2</v>
      </c>
      <c r="D343" s="94">
        <v>26101</v>
      </c>
      <c r="E343" s="93" t="s">
        <v>153</v>
      </c>
      <c r="F343" s="99">
        <v>20000</v>
      </c>
      <c r="G343" s="99">
        <v>20000</v>
      </c>
      <c r="H343" s="99">
        <v>20000</v>
      </c>
      <c r="I343" s="99">
        <v>20000</v>
      </c>
      <c r="J343" s="99">
        <v>720000</v>
      </c>
      <c r="K343" s="99">
        <v>20000</v>
      </c>
      <c r="L343" s="99">
        <v>20000</v>
      </c>
      <c r="M343" s="99">
        <v>20000</v>
      </c>
      <c r="N343" s="99">
        <v>20000</v>
      </c>
      <c r="O343" s="99">
        <v>20000</v>
      </c>
      <c r="P343" s="99">
        <v>20000</v>
      </c>
      <c r="Q343" s="99">
        <v>20000</v>
      </c>
      <c r="R343" s="97">
        <f t="shared" si="5"/>
        <v>940000</v>
      </c>
    </row>
    <row r="344" spans="1:18" s="98" customFormat="1" ht="15" customHeight="1">
      <c r="A344" s="94">
        <v>9004</v>
      </c>
      <c r="B344" s="93" t="s">
        <v>218</v>
      </c>
      <c r="C344" s="94">
        <v>2</v>
      </c>
      <c r="D344" s="94">
        <v>27201</v>
      </c>
      <c r="E344" s="93" t="s">
        <v>222</v>
      </c>
      <c r="F344" s="99">
        <v>5000</v>
      </c>
      <c r="G344" s="99"/>
      <c r="H344" s="99"/>
      <c r="I344" s="99">
        <v>38333.33</v>
      </c>
      <c r="J344" s="99"/>
      <c r="K344" s="99">
        <v>33333.33</v>
      </c>
      <c r="L344" s="99">
        <v>38334.33</v>
      </c>
      <c r="M344" s="99"/>
      <c r="N344" s="99">
        <v>5000</v>
      </c>
      <c r="O344" s="99"/>
      <c r="P344" s="99">
        <v>5005</v>
      </c>
      <c r="Q344" s="99"/>
      <c r="R344" s="97">
        <f t="shared" si="5"/>
        <v>125005.99</v>
      </c>
    </row>
    <row r="345" spans="1:18" s="98" customFormat="1" ht="15" customHeight="1">
      <c r="A345" s="94">
        <v>9004</v>
      </c>
      <c r="B345" s="93" t="s">
        <v>218</v>
      </c>
      <c r="C345" s="94">
        <v>2</v>
      </c>
      <c r="D345" s="94">
        <v>29101</v>
      </c>
      <c r="E345" s="93" t="s">
        <v>223</v>
      </c>
      <c r="F345" s="99">
        <v>5000</v>
      </c>
      <c r="G345" s="99"/>
      <c r="H345" s="99"/>
      <c r="I345" s="99"/>
      <c r="J345" s="99"/>
      <c r="K345" s="99"/>
      <c r="L345" s="99">
        <v>5000</v>
      </c>
      <c r="M345" s="99"/>
      <c r="N345" s="99"/>
      <c r="O345" s="99"/>
      <c r="P345" s="99"/>
      <c r="Q345" s="99"/>
      <c r="R345" s="97">
        <f t="shared" si="5"/>
        <v>10000</v>
      </c>
    </row>
    <row r="346" spans="1:18" s="98" customFormat="1" ht="15" customHeight="1">
      <c r="A346" s="94">
        <v>9004</v>
      </c>
      <c r="B346" s="93" t="s">
        <v>218</v>
      </c>
      <c r="C346" s="94">
        <v>2</v>
      </c>
      <c r="D346" s="94">
        <v>29201</v>
      </c>
      <c r="E346" s="93" t="s">
        <v>224</v>
      </c>
      <c r="F346" s="99">
        <v>10000</v>
      </c>
      <c r="G346" s="99">
        <v>10000</v>
      </c>
      <c r="H346" s="99">
        <v>5000</v>
      </c>
      <c r="I346" s="99">
        <v>5000</v>
      </c>
      <c r="J346" s="99">
        <v>10000</v>
      </c>
      <c r="K346" s="99">
        <v>5000</v>
      </c>
      <c r="L346" s="99">
        <v>10000</v>
      </c>
      <c r="M346" s="99">
        <v>5000</v>
      </c>
      <c r="N346" s="99">
        <v>5000</v>
      </c>
      <c r="O346" s="99">
        <v>10000</v>
      </c>
      <c r="P346" s="99">
        <v>5000</v>
      </c>
      <c r="Q346" s="99">
        <v>10000</v>
      </c>
      <c r="R346" s="97">
        <f t="shared" si="5"/>
        <v>90000</v>
      </c>
    </row>
    <row r="347" spans="1:18" s="98" customFormat="1" ht="15" customHeight="1">
      <c r="A347" s="94">
        <v>9004</v>
      </c>
      <c r="B347" s="93" t="s">
        <v>218</v>
      </c>
      <c r="C347" s="94">
        <v>2</v>
      </c>
      <c r="D347" s="94">
        <v>29601</v>
      </c>
      <c r="E347" s="93" t="s">
        <v>225</v>
      </c>
      <c r="F347" s="99">
        <v>10000</v>
      </c>
      <c r="G347" s="99"/>
      <c r="H347" s="99"/>
      <c r="I347" s="99"/>
      <c r="J347" s="99"/>
      <c r="K347" s="99"/>
      <c r="L347" s="99">
        <v>10000</v>
      </c>
      <c r="M347" s="99"/>
      <c r="N347" s="99"/>
      <c r="O347" s="99"/>
      <c r="P347" s="99"/>
      <c r="Q347" s="99"/>
      <c r="R347" s="97">
        <f t="shared" si="5"/>
        <v>20000</v>
      </c>
    </row>
    <row r="348" spans="1:18" s="98" customFormat="1" ht="15" customHeight="1">
      <c r="A348" s="94">
        <v>9004</v>
      </c>
      <c r="B348" s="93" t="s">
        <v>218</v>
      </c>
      <c r="C348" s="94">
        <v>2</v>
      </c>
      <c r="D348" s="94">
        <v>29602</v>
      </c>
      <c r="E348" s="93" t="s">
        <v>156</v>
      </c>
      <c r="F348" s="99">
        <v>40000</v>
      </c>
      <c r="G348" s="99">
        <v>40000</v>
      </c>
      <c r="H348" s="99">
        <v>40000</v>
      </c>
      <c r="I348" s="99">
        <v>1203333.3400000001</v>
      </c>
      <c r="J348" s="99">
        <v>40000</v>
      </c>
      <c r="K348" s="99">
        <v>1203333.3400000001</v>
      </c>
      <c r="L348" s="99">
        <v>1203333.3400000001</v>
      </c>
      <c r="M348" s="99">
        <v>40000</v>
      </c>
      <c r="N348" s="99">
        <v>40000</v>
      </c>
      <c r="O348" s="99">
        <v>40000</v>
      </c>
      <c r="P348" s="99">
        <v>40000</v>
      </c>
      <c r="Q348" s="99">
        <v>40000</v>
      </c>
      <c r="R348" s="97">
        <f t="shared" si="5"/>
        <v>3970000.0200000005</v>
      </c>
    </row>
    <row r="349" spans="1:18" s="98" customFormat="1" ht="15" customHeight="1">
      <c r="A349" s="94">
        <v>9004</v>
      </c>
      <c r="B349" s="93" t="s">
        <v>218</v>
      </c>
      <c r="C349" s="94">
        <v>2</v>
      </c>
      <c r="D349" s="94">
        <v>29801</v>
      </c>
      <c r="E349" s="93" t="s">
        <v>226</v>
      </c>
      <c r="F349" s="99">
        <v>40000</v>
      </c>
      <c r="G349" s="99">
        <v>40000</v>
      </c>
      <c r="H349" s="99">
        <v>40000</v>
      </c>
      <c r="I349" s="99">
        <v>1203333.3400000001</v>
      </c>
      <c r="J349" s="99">
        <v>40000</v>
      </c>
      <c r="K349" s="99">
        <v>1203333.3400000001</v>
      </c>
      <c r="L349" s="99">
        <v>1203333.3500000001</v>
      </c>
      <c r="M349" s="99">
        <v>40000</v>
      </c>
      <c r="N349" s="99">
        <v>40000</v>
      </c>
      <c r="O349" s="99">
        <v>40000</v>
      </c>
      <c r="P349" s="99">
        <v>40000</v>
      </c>
      <c r="Q349" s="99">
        <v>40000</v>
      </c>
      <c r="R349" s="97">
        <f t="shared" si="5"/>
        <v>3970000.0300000003</v>
      </c>
    </row>
    <row r="350" spans="1:18" s="98" customFormat="1" ht="15" customHeight="1">
      <c r="A350" s="94">
        <v>9004</v>
      </c>
      <c r="B350" s="93" t="s">
        <v>218</v>
      </c>
      <c r="C350" s="94">
        <v>2</v>
      </c>
      <c r="D350" s="94">
        <v>29901</v>
      </c>
      <c r="E350" s="93" t="s">
        <v>227</v>
      </c>
      <c r="F350" s="99">
        <v>31500</v>
      </c>
      <c r="G350" s="99"/>
      <c r="H350" s="99"/>
      <c r="I350" s="99"/>
      <c r="J350" s="99"/>
      <c r="K350" s="99"/>
      <c r="L350" s="99"/>
      <c r="M350" s="99"/>
      <c r="N350" s="99"/>
      <c r="O350" s="99"/>
      <c r="P350" s="99"/>
      <c r="Q350" s="99"/>
      <c r="R350" s="97">
        <f t="shared" si="5"/>
        <v>31500</v>
      </c>
    </row>
    <row r="351" spans="1:18" s="98" customFormat="1" ht="12.75">
      <c r="A351" s="94">
        <v>9004</v>
      </c>
      <c r="B351" s="93" t="s">
        <v>218</v>
      </c>
      <c r="C351" s="94">
        <v>2</v>
      </c>
      <c r="D351" s="94">
        <v>31101</v>
      </c>
      <c r="E351" s="93" t="s">
        <v>157</v>
      </c>
      <c r="F351" s="99">
        <v>19159</v>
      </c>
      <c r="G351" s="99">
        <v>19159</v>
      </c>
      <c r="H351" s="99">
        <v>19159</v>
      </c>
      <c r="I351" s="99">
        <v>19159</v>
      </c>
      <c r="J351" s="99">
        <v>19159</v>
      </c>
      <c r="K351" s="99">
        <v>19159</v>
      </c>
      <c r="L351" s="99">
        <v>19159</v>
      </c>
      <c r="M351" s="99">
        <v>19159</v>
      </c>
      <c r="N351" s="99">
        <v>19159</v>
      </c>
      <c r="O351" s="99">
        <v>19159</v>
      </c>
      <c r="P351" s="99">
        <v>19159</v>
      </c>
      <c r="Q351" s="99">
        <v>19159</v>
      </c>
      <c r="R351" s="97">
        <f t="shared" si="5"/>
        <v>229908</v>
      </c>
    </row>
    <row r="352" spans="1:18" s="98" customFormat="1" ht="15" customHeight="1">
      <c r="A352" s="94">
        <v>9004</v>
      </c>
      <c r="B352" s="93" t="s">
        <v>218</v>
      </c>
      <c r="C352" s="94">
        <v>2</v>
      </c>
      <c r="D352" s="94">
        <v>31401</v>
      </c>
      <c r="E352" s="93" t="s">
        <v>158</v>
      </c>
      <c r="F352" s="99">
        <v>259.02</v>
      </c>
      <c r="G352" s="99">
        <v>259.02</v>
      </c>
      <c r="H352" s="99">
        <v>259.02</v>
      </c>
      <c r="I352" s="99">
        <v>259.02</v>
      </c>
      <c r="J352" s="99">
        <v>259.02</v>
      </c>
      <c r="K352" s="99">
        <v>259.02</v>
      </c>
      <c r="L352" s="99">
        <v>259.02</v>
      </c>
      <c r="M352" s="99">
        <v>259.02</v>
      </c>
      <c r="N352" s="99">
        <v>259.02</v>
      </c>
      <c r="O352" s="99">
        <v>259.02</v>
      </c>
      <c r="P352" s="99">
        <v>259.02</v>
      </c>
      <c r="Q352" s="99">
        <v>259.02</v>
      </c>
      <c r="R352" s="97">
        <f t="shared" si="5"/>
        <v>3108.24</v>
      </c>
    </row>
    <row r="353" spans="1:18" s="98" customFormat="1" ht="15" customHeight="1">
      <c r="A353" s="94">
        <v>9004</v>
      </c>
      <c r="B353" s="93" t="s">
        <v>218</v>
      </c>
      <c r="C353" s="94">
        <v>2</v>
      </c>
      <c r="D353" s="94">
        <v>31501</v>
      </c>
      <c r="E353" s="93" t="s">
        <v>228</v>
      </c>
      <c r="F353" s="99">
        <v>40000</v>
      </c>
      <c r="G353" s="99">
        <v>40000</v>
      </c>
      <c r="H353" s="99">
        <v>40000</v>
      </c>
      <c r="I353" s="99">
        <v>40000</v>
      </c>
      <c r="J353" s="99">
        <v>40000</v>
      </c>
      <c r="K353" s="99">
        <v>40000</v>
      </c>
      <c r="L353" s="99">
        <v>40000</v>
      </c>
      <c r="M353" s="99">
        <v>40000</v>
      </c>
      <c r="N353" s="99">
        <v>40000</v>
      </c>
      <c r="O353" s="99">
        <v>40000</v>
      </c>
      <c r="P353" s="99">
        <v>40000</v>
      </c>
      <c r="Q353" s="99">
        <v>40000</v>
      </c>
      <c r="R353" s="97">
        <f t="shared" si="5"/>
        <v>480000</v>
      </c>
    </row>
    <row r="354" spans="1:18" s="98" customFormat="1" ht="15" customHeight="1">
      <c r="A354" s="94">
        <v>9004</v>
      </c>
      <c r="B354" s="93" t="s">
        <v>218</v>
      </c>
      <c r="C354" s="94">
        <v>2</v>
      </c>
      <c r="D354" s="94">
        <v>32201</v>
      </c>
      <c r="E354" s="93" t="s">
        <v>229</v>
      </c>
      <c r="F354" s="99">
        <v>0</v>
      </c>
      <c r="G354" s="99">
        <v>0</v>
      </c>
      <c r="H354" s="99">
        <v>0</v>
      </c>
      <c r="I354" s="99">
        <v>66666.67</v>
      </c>
      <c r="J354" s="99">
        <v>0</v>
      </c>
      <c r="K354" s="99">
        <v>66666.67</v>
      </c>
      <c r="L354" s="99">
        <v>66666.66</v>
      </c>
      <c r="M354" s="99">
        <v>0</v>
      </c>
      <c r="N354" s="99">
        <v>0</v>
      </c>
      <c r="O354" s="99">
        <v>0</v>
      </c>
      <c r="P354" s="99">
        <v>0</v>
      </c>
      <c r="Q354" s="99">
        <v>0</v>
      </c>
      <c r="R354" s="97">
        <f t="shared" si="5"/>
        <v>200000</v>
      </c>
    </row>
    <row r="355" spans="1:18" s="98" customFormat="1" ht="15" customHeight="1">
      <c r="A355" s="94">
        <v>9004</v>
      </c>
      <c r="B355" s="93" t="s">
        <v>218</v>
      </c>
      <c r="C355" s="94">
        <v>2</v>
      </c>
      <c r="D355" s="94">
        <v>33601</v>
      </c>
      <c r="E355" s="93" t="s">
        <v>230</v>
      </c>
      <c r="F355" s="99">
        <v>6000</v>
      </c>
      <c r="G355" s="99">
        <v>6000</v>
      </c>
      <c r="H355" s="99">
        <v>6000</v>
      </c>
      <c r="I355" s="99">
        <v>6000</v>
      </c>
      <c r="J355" s="99">
        <v>6000</v>
      </c>
      <c r="K355" s="99">
        <v>6000</v>
      </c>
      <c r="L355" s="99">
        <v>6000</v>
      </c>
      <c r="M355" s="99">
        <v>6000</v>
      </c>
      <c r="N355" s="99">
        <v>6000</v>
      </c>
      <c r="O355" s="99">
        <v>6000</v>
      </c>
      <c r="P355" s="99">
        <v>6000</v>
      </c>
      <c r="Q355" s="99">
        <v>6000</v>
      </c>
      <c r="R355" s="97">
        <f t="shared" si="5"/>
        <v>72000</v>
      </c>
    </row>
    <row r="356" spans="1:18" s="98" customFormat="1" ht="15" customHeight="1">
      <c r="A356" s="94">
        <v>9004</v>
      </c>
      <c r="B356" s="93" t="s">
        <v>218</v>
      </c>
      <c r="C356" s="94">
        <v>2</v>
      </c>
      <c r="D356" s="94">
        <v>34501</v>
      </c>
      <c r="E356" s="93" t="s">
        <v>231</v>
      </c>
      <c r="F356" s="99"/>
      <c r="G356" s="99"/>
      <c r="H356" s="99">
        <v>450000</v>
      </c>
      <c r="I356" s="99"/>
      <c r="J356" s="99"/>
      <c r="K356" s="99">
        <v>450000</v>
      </c>
      <c r="L356" s="99"/>
      <c r="M356" s="99"/>
      <c r="N356" s="99">
        <v>450000</v>
      </c>
      <c r="O356" s="99"/>
      <c r="P356" s="99"/>
      <c r="Q356" s="99">
        <v>450000</v>
      </c>
      <c r="R356" s="97">
        <f t="shared" si="5"/>
        <v>1800000</v>
      </c>
    </row>
    <row r="357" spans="1:18" s="98" customFormat="1" ht="15" customHeight="1">
      <c r="A357" s="94">
        <v>9004</v>
      </c>
      <c r="B357" s="93" t="s">
        <v>218</v>
      </c>
      <c r="C357" s="94">
        <v>2</v>
      </c>
      <c r="D357" s="94">
        <v>35101</v>
      </c>
      <c r="E357" s="93" t="s">
        <v>232</v>
      </c>
      <c r="F357" s="99">
        <v>50000</v>
      </c>
      <c r="G357" s="99"/>
      <c r="H357" s="99"/>
      <c r="I357" s="99">
        <v>33333.33</v>
      </c>
      <c r="J357" s="99"/>
      <c r="K357" s="99">
        <v>33333.33</v>
      </c>
      <c r="L357" s="99">
        <v>83333.33</v>
      </c>
      <c r="M357" s="99"/>
      <c r="N357" s="99"/>
      <c r="O357" s="99"/>
      <c r="P357" s="99"/>
      <c r="Q357" s="99"/>
      <c r="R357" s="97">
        <f t="shared" si="5"/>
        <v>199999.99</v>
      </c>
    </row>
    <row r="358" spans="1:18" s="98" customFormat="1" ht="15" customHeight="1">
      <c r="A358" s="94">
        <v>9004</v>
      </c>
      <c r="B358" s="93" t="s">
        <v>218</v>
      </c>
      <c r="C358" s="94">
        <v>2</v>
      </c>
      <c r="D358" s="94">
        <v>35501</v>
      </c>
      <c r="E358" s="93" t="s">
        <v>233</v>
      </c>
      <c r="F358" s="99">
        <v>80000</v>
      </c>
      <c r="G358" s="99">
        <v>80000</v>
      </c>
      <c r="H358" s="99">
        <v>80000</v>
      </c>
      <c r="I358" s="99">
        <v>2580000</v>
      </c>
      <c r="J358" s="99">
        <v>80000</v>
      </c>
      <c r="K358" s="99">
        <v>1080000</v>
      </c>
      <c r="L358" s="99">
        <v>1090000</v>
      </c>
      <c r="M358" s="99">
        <v>1080000</v>
      </c>
      <c r="N358" s="99">
        <v>80000</v>
      </c>
      <c r="O358" s="99">
        <v>80000</v>
      </c>
      <c r="P358" s="99">
        <v>80000</v>
      </c>
      <c r="Q358" s="99">
        <v>1080000</v>
      </c>
      <c r="R358" s="97">
        <f t="shared" si="5"/>
        <v>7470000</v>
      </c>
    </row>
    <row r="359" spans="1:18" s="98" customFormat="1" ht="15" customHeight="1">
      <c r="A359" s="94">
        <v>9004</v>
      </c>
      <c r="B359" s="93" t="s">
        <v>218</v>
      </c>
      <c r="C359" s="94">
        <v>2</v>
      </c>
      <c r="D359" s="94">
        <v>35702</v>
      </c>
      <c r="E359" s="93" t="s">
        <v>234</v>
      </c>
      <c r="F359" s="99">
        <v>85000</v>
      </c>
      <c r="G359" s="99">
        <v>2085000</v>
      </c>
      <c r="H359" s="99">
        <v>3085000</v>
      </c>
      <c r="I359" s="99">
        <v>85000</v>
      </c>
      <c r="J359" s="99">
        <v>85000</v>
      </c>
      <c r="K359" s="99">
        <v>85000</v>
      </c>
      <c r="L359" s="99">
        <v>85000</v>
      </c>
      <c r="M359" s="99">
        <v>85000</v>
      </c>
      <c r="N359" s="99">
        <v>885000</v>
      </c>
      <c r="O359" s="99">
        <v>85000</v>
      </c>
      <c r="P359" s="99">
        <v>85000</v>
      </c>
      <c r="Q359" s="99">
        <v>85000</v>
      </c>
      <c r="R359" s="97">
        <f t="shared" si="5"/>
        <v>6820000</v>
      </c>
    </row>
    <row r="360" spans="1:18" s="98" customFormat="1" ht="15" customHeight="1">
      <c r="A360" s="94">
        <v>9004</v>
      </c>
      <c r="B360" s="93" t="s">
        <v>218</v>
      </c>
      <c r="C360" s="94">
        <v>2</v>
      </c>
      <c r="D360" s="94">
        <v>35901</v>
      </c>
      <c r="E360" s="93" t="s">
        <v>235</v>
      </c>
      <c r="F360" s="99">
        <v>90000</v>
      </c>
      <c r="G360" s="99"/>
      <c r="H360" s="99">
        <v>90000</v>
      </c>
      <c r="I360" s="99"/>
      <c r="J360" s="99">
        <v>90000</v>
      </c>
      <c r="K360" s="99"/>
      <c r="L360" s="99">
        <v>90000</v>
      </c>
      <c r="M360" s="99"/>
      <c r="N360" s="99">
        <v>90000</v>
      </c>
      <c r="O360" s="99"/>
      <c r="P360" s="99">
        <v>90000</v>
      </c>
      <c r="Q360" s="99"/>
      <c r="R360" s="97">
        <f t="shared" si="5"/>
        <v>540000</v>
      </c>
    </row>
    <row r="361" spans="1:18" s="98" customFormat="1" ht="15" customHeight="1">
      <c r="A361" s="94">
        <v>9004</v>
      </c>
      <c r="B361" s="93" t="s">
        <v>218</v>
      </c>
      <c r="C361" s="94">
        <v>2</v>
      </c>
      <c r="D361" s="94">
        <v>36202</v>
      </c>
      <c r="E361" s="93" t="s">
        <v>236</v>
      </c>
      <c r="F361" s="99">
        <v>5000</v>
      </c>
      <c r="G361" s="99"/>
      <c r="H361" s="99">
        <v>5000</v>
      </c>
      <c r="I361" s="99"/>
      <c r="J361" s="99">
        <v>5000</v>
      </c>
      <c r="K361" s="99"/>
      <c r="L361" s="99">
        <v>5000</v>
      </c>
      <c r="M361" s="99"/>
      <c r="N361" s="99">
        <v>5000</v>
      </c>
      <c r="O361" s="99"/>
      <c r="P361" s="99">
        <v>5000</v>
      </c>
      <c r="Q361" s="99"/>
      <c r="R361" s="97">
        <f t="shared" si="5"/>
        <v>30000</v>
      </c>
    </row>
    <row r="362" spans="1:18" s="98" customFormat="1" ht="15" customHeight="1">
      <c r="A362" s="94">
        <v>9004</v>
      </c>
      <c r="B362" s="93" t="s">
        <v>218</v>
      </c>
      <c r="C362" s="94">
        <v>2</v>
      </c>
      <c r="D362" s="94">
        <v>36901</v>
      </c>
      <c r="E362" s="93" t="s">
        <v>237</v>
      </c>
      <c r="F362" s="99">
        <v>1200</v>
      </c>
      <c r="G362" s="99">
        <v>1200</v>
      </c>
      <c r="H362" s="99">
        <v>1200</v>
      </c>
      <c r="I362" s="99">
        <v>1200</v>
      </c>
      <c r="J362" s="99">
        <v>1200</v>
      </c>
      <c r="K362" s="99">
        <v>1200</v>
      </c>
      <c r="L362" s="99">
        <v>1200</v>
      </c>
      <c r="M362" s="99">
        <v>1200</v>
      </c>
      <c r="N362" s="99">
        <v>1200</v>
      </c>
      <c r="O362" s="99">
        <v>1200</v>
      </c>
      <c r="P362" s="99">
        <v>1200</v>
      </c>
      <c r="Q362" s="99">
        <v>1200</v>
      </c>
      <c r="R362" s="97">
        <f t="shared" si="5"/>
        <v>14400</v>
      </c>
    </row>
    <row r="363" spans="1:18" s="98" customFormat="1" ht="15" customHeight="1">
      <c r="A363" s="94">
        <v>9004</v>
      </c>
      <c r="B363" s="93" t="s">
        <v>218</v>
      </c>
      <c r="C363" s="94">
        <v>2</v>
      </c>
      <c r="D363" s="94">
        <v>39203</v>
      </c>
      <c r="E363" s="93" t="s">
        <v>238</v>
      </c>
      <c r="F363" s="99"/>
      <c r="G363" s="99"/>
      <c r="H363" s="99">
        <v>500000</v>
      </c>
      <c r="I363" s="99"/>
      <c r="J363" s="99"/>
      <c r="K363" s="99">
        <v>600000</v>
      </c>
      <c r="L363" s="99"/>
      <c r="M363" s="99"/>
      <c r="N363" s="99"/>
      <c r="O363" s="99"/>
      <c r="P363" s="99"/>
      <c r="Q363" s="99"/>
      <c r="R363" s="97">
        <f t="shared" si="5"/>
        <v>1100000</v>
      </c>
    </row>
    <row r="364" spans="1:18" s="98" customFormat="1" ht="15" customHeight="1">
      <c r="A364" s="94">
        <v>9004</v>
      </c>
      <c r="B364" s="93" t="s">
        <v>218</v>
      </c>
      <c r="C364" s="94">
        <v>2</v>
      </c>
      <c r="D364" s="92">
        <v>39801</v>
      </c>
      <c r="E364" s="95" t="s">
        <v>176</v>
      </c>
      <c r="F364" s="96">
        <v>3603.91</v>
      </c>
      <c r="G364" s="96">
        <v>3603.91</v>
      </c>
      <c r="H364" s="96">
        <v>3603.91</v>
      </c>
      <c r="I364" s="96">
        <v>3603.91</v>
      </c>
      <c r="J364" s="96">
        <v>3603.91</v>
      </c>
      <c r="K364" s="96">
        <v>3603.91</v>
      </c>
      <c r="L364" s="96">
        <v>3603.91</v>
      </c>
      <c r="M364" s="96">
        <v>3603.91</v>
      </c>
      <c r="N364" s="96">
        <v>3603.91</v>
      </c>
      <c r="O364" s="96">
        <v>3603.91</v>
      </c>
      <c r="P364" s="96">
        <v>3603.91</v>
      </c>
      <c r="Q364" s="96">
        <v>3603.97</v>
      </c>
      <c r="R364" s="97">
        <f t="shared" si="5"/>
        <v>43246.979999999996</v>
      </c>
    </row>
    <row r="365" spans="1:18" s="98" customFormat="1" ht="15" customHeight="1">
      <c r="A365" s="94">
        <v>9004</v>
      </c>
      <c r="B365" s="93" t="s">
        <v>218</v>
      </c>
      <c r="C365" s="94">
        <v>2</v>
      </c>
      <c r="D365" s="92">
        <v>39802</v>
      </c>
      <c r="E365" s="95" t="s">
        <v>177</v>
      </c>
      <c r="F365" s="96">
        <v>3603.91</v>
      </c>
      <c r="G365" s="96">
        <v>3603.91</v>
      </c>
      <c r="H365" s="96">
        <v>3603.91</v>
      </c>
      <c r="I365" s="96">
        <v>3603.91</v>
      </c>
      <c r="J365" s="96">
        <v>3603.91</v>
      </c>
      <c r="K365" s="96">
        <v>3603.91</v>
      </c>
      <c r="L365" s="96">
        <v>3603.91</v>
      </c>
      <c r="M365" s="96">
        <v>3603.91</v>
      </c>
      <c r="N365" s="96">
        <v>3603.91</v>
      </c>
      <c r="O365" s="96">
        <v>3603.91</v>
      </c>
      <c r="P365" s="96">
        <v>3603.91</v>
      </c>
      <c r="Q365" s="96">
        <v>3603.97</v>
      </c>
      <c r="R365" s="97">
        <f t="shared" si="5"/>
        <v>43246.979999999996</v>
      </c>
    </row>
    <row r="366" spans="1:18" s="98" customFormat="1" ht="15" customHeight="1">
      <c r="A366" s="94">
        <v>9004</v>
      </c>
      <c r="B366" s="93" t="s">
        <v>218</v>
      </c>
      <c r="C366" s="94">
        <v>2</v>
      </c>
      <c r="D366" s="92">
        <v>39803</v>
      </c>
      <c r="E366" s="95" t="s">
        <v>178</v>
      </c>
      <c r="F366" s="96">
        <v>24026.09</v>
      </c>
      <c r="G366" s="96">
        <v>24026.09</v>
      </c>
      <c r="H366" s="96">
        <v>24026.09</v>
      </c>
      <c r="I366" s="96">
        <v>24026.09</v>
      </c>
      <c r="J366" s="96">
        <v>24026.09</v>
      </c>
      <c r="K366" s="96">
        <v>24026.09</v>
      </c>
      <c r="L366" s="96">
        <v>24026.09</v>
      </c>
      <c r="M366" s="96">
        <v>24026.09</v>
      </c>
      <c r="N366" s="96">
        <v>24026.09</v>
      </c>
      <c r="O366" s="96">
        <v>24026.09</v>
      </c>
      <c r="P366" s="96">
        <v>24026.09</v>
      </c>
      <c r="Q366" s="96">
        <v>24026.2</v>
      </c>
      <c r="R366" s="97">
        <f t="shared" si="5"/>
        <v>288313.19</v>
      </c>
    </row>
    <row r="367" spans="1:18" s="98" customFormat="1" ht="15" customHeight="1">
      <c r="A367" s="94">
        <v>9004</v>
      </c>
      <c r="B367" s="93" t="s">
        <v>218</v>
      </c>
      <c r="C367" s="94">
        <v>2</v>
      </c>
      <c r="D367" s="92">
        <v>39804</v>
      </c>
      <c r="E367" s="95" t="s">
        <v>179</v>
      </c>
      <c r="F367" s="96">
        <v>3603.91</v>
      </c>
      <c r="G367" s="96">
        <v>3603.91</v>
      </c>
      <c r="H367" s="96">
        <v>3603.91</v>
      </c>
      <c r="I367" s="96">
        <v>3603.91</v>
      </c>
      <c r="J367" s="96">
        <v>3603.91</v>
      </c>
      <c r="K367" s="96">
        <v>3603.91</v>
      </c>
      <c r="L367" s="96">
        <v>3603.91</v>
      </c>
      <c r="M367" s="96">
        <v>3603.91</v>
      </c>
      <c r="N367" s="96">
        <v>3603.91</v>
      </c>
      <c r="O367" s="96">
        <v>3603.91</v>
      </c>
      <c r="P367" s="96">
        <v>3603.91</v>
      </c>
      <c r="Q367" s="96">
        <v>3603.97</v>
      </c>
      <c r="R367" s="97">
        <f t="shared" si="5"/>
        <v>43246.979999999996</v>
      </c>
    </row>
    <row r="368" spans="1:18" s="98" customFormat="1" ht="15" customHeight="1">
      <c r="A368" s="92">
        <v>9005</v>
      </c>
      <c r="B368" s="93" t="s">
        <v>239</v>
      </c>
      <c r="C368" s="94">
        <v>2</v>
      </c>
      <c r="D368" s="92">
        <v>11301</v>
      </c>
      <c r="E368" s="95" t="s">
        <v>128</v>
      </c>
      <c r="F368" s="96">
        <v>26405.73</v>
      </c>
      <c r="G368" s="96">
        <v>26405.73</v>
      </c>
      <c r="H368" s="96">
        <v>26405.73</v>
      </c>
      <c r="I368" s="96">
        <v>26405.73</v>
      </c>
      <c r="J368" s="96">
        <v>26405.73</v>
      </c>
      <c r="K368" s="96">
        <v>26405.73</v>
      </c>
      <c r="L368" s="96">
        <v>26405.73</v>
      </c>
      <c r="M368" s="96">
        <v>26405.73</v>
      </c>
      <c r="N368" s="96">
        <v>26405.73</v>
      </c>
      <c r="O368" s="96">
        <v>26405.73</v>
      </c>
      <c r="P368" s="96">
        <v>26405.73</v>
      </c>
      <c r="Q368" s="96">
        <v>26405.73</v>
      </c>
      <c r="R368" s="97">
        <f t="shared" si="5"/>
        <v>316868.76</v>
      </c>
    </row>
    <row r="369" spans="1:18" s="98" customFormat="1" ht="15" customHeight="1">
      <c r="A369" s="92">
        <v>9005</v>
      </c>
      <c r="B369" s="93" t="s">
        <v>239</v>
      </c>
      <c r="C369" s="94">
        <v>2</v>
      </c>
      <c r="D369" s="92">
        <v>11302</v>
      </c>
      <c r="E369" s="95" t="s">
        <v>129</v>
      </c>
      <c r="F369" s="96">
        <v>26405.73</v>
      </c>
      <c r="G369" s="96">
        <v>26405.73</v>
      </c>
      <c r="H369" s="96">
        <v>26405.73</v>
      </c>
      <c r="I369" s="96">
        <v>26405.73</v>
      </c>
      <c r="J369" s="96">
        <v>26405.73</v>
      </c>
      <c r="K369" s="96">
        <v>26405.73</v>
      </c>
      <c r="L369" s="96">
        <v>26405.73</v>
      </c>
      <c r="M369" s="96">
        <v>26405.73</v>
      </c>
      <c r="N369" s="96">
        <v>26405.73</v>
      </c>
      <c r="O369" s="96">
        <v>26405.73</v>
      </c>
      <c r="P369" s="96">
        <v>26405.73</v>
      </c>
      <c r="Q369" s="96">
        <v>26405.73</v>
      </c>
      <c r="R369" s="97">
        <f t="shared" si="5"/>
        <v>316868.76</v>
      </c>
    </row>
    <row r="370" spans="1:18" s="98" customFormat="1" ht="15" customHeight="1">
      <c r="A370" s="92">
        <v>9005</v>
      </c>
      <c r="B370" s="93" t="s">
        <v>239</v>
      </c>
      <c r="C370" s="94">
        <v>2</v>
      </c>
      <c r="D370" s="92">
        <v>11304</v>
      </c>
      <c r="E370" s="95" t="s">
        <v>131</v>
      </c>
      <c r="F370" s="96">
        <v>65892.03</v>
      </c>
      <c r="G370" s="96">
        <v>65892.03</v>
      </c>
      <c r="H370" s="96">
        <v>65892.03</v>
      </c>
      <c r="I370" s="96">
        <v>65892.03</v>
      </c>
      <c r="J370" s="96">
        <v>65892.03</v>
      </c>
      <c r="K370" s="96">
        <v>65892.03</v>
      </c>
      <c r="L370" s="96">
        <v>65892.03</v>
      </c>
      <c r="M370" s="96">
        <v>65892.03</v>
      </c>
      <c r="N370" s="96">
        <v>65892.03</v>
      </c>
      <c r="O370" s="96">
        <v>65892.03</v>
      </c>
      <c r="P370" s="96">
        <v>65892.03</v>
      </c>
      <c r="Q370" s="96">
        <v>65892.03</v>
      </c>
      <c r="R370" s="97">
        <f t="shared" si="5"/>
        <v>790704.36000000022</v>
      </c>
    </row>
    <row r="371" spans="1:18" s="98" customFormat="1" ht="15" customHeight="1">
      <c r="A371" s="92">
        <v>9005</v>
      </c>
      <c r="B371" s="93" t="s">
        <v>239</v>
      </c>
      <c r="C371" s="94">
        <v>2</v>
      </c>
      <c r="D371" s="92">
        <v>13101</v>
      </c>
      <c r="E371" s="95" t="s">
        <v>132</v>
      </c>
      <c r="F371" s="96">
        <v>148.29999999999998</v>
      </c>
      <c r="G371" s="96">
        <v>148.29999999999998</v>
      </c>
      <c r="H371" s="96">
        <v>148.29999999999998</v>
      </c>
      <c r="I371" s="96">
        <v>148.29999999999998</v>
      </c>
      <c r="J371" s="96">
        <v>148.29999999999998</v>
      </c>
      <c r="K371" s="96">
        <v>148.29999999999998</v>
      </c>
      <c r="L371" s="96">
        <v>148.29999999999998</v>
      </c>
      <c r="M371" s="96">
        <v>148.29999999999998</v>
      </c>
      <c r="N371" s="96">
        <v>148.29999999999998</v>
      </c>
      <c r="O371" s="96">
        <v>148.29999999999998</v>
      </c>
      <c r="P371" s="96">
        <v>148.29999999999998</v>
      </c>
      <c r="Q371" s="96">
        <v>148.29999999999998</v>
      </c>
      <c r="R371" s="97">
        <f t="shared" si="5"/>
        <v>1779.5999999999997</v>
      </c>
    </row>
    <row r="372" spans="1:18" s="98" customFormat="1" ht="15" customHeight="1">
      <c r="A372" s="92">
        <v>9005</v>
      </c>
      <c r="B372" s="93" t="s">
        <v>239</v>
      </c>
      <c r="C372" s="94">
        <v>2</v>
      </c>
      <c r="D372" s="92">
        <v>13201</v>
      </c>
      <c r="E372" s="95" t="s">
        <v>133</v>
      </c>
      <c r="F372" s="96">
        <v>1990.78</v>
      </c>
      <c r="G372" s="96">
        <v>1990.78</v>
      </c>
      <c r="H372" s="96">
        <v>1990.78</v>
      </c>
      <c r="I372" s="96">
        <v>1990.78</v>
      </c>
      <c r="J372" s="96">
        <v>1990.78</v>
      </c>
      <c r="K372" s="96">
        <v>1990.78</v>
      </c>
      <c r="L372" s="96">
        <v>1990.78</v>
      </c>
      <c r="M372" s="96">
        <v>1990.78</v>
      </c>
      <c r="N372" s="96">
        <v>1990.78</v>
      </c>
      <c r="O372" s="96">
        <v>1990.78</v>
      </c>
      <c r="P372" s="96">
        <v>1990.78</v>
      </c>
      <c r="Q372" s="96">
        <v>1990.81</v>
      </c>
      <c r="R372" s="97">
        <f t="shared" si="5"/>
        <v>23889.39</v>
      </c>
    </row>
    <row r="373" spans="1:18" s="98" customFormat="1" ht="15" customHeight="1">
      <c r="A373" s="92">
        <v>9005</v>
      </c>
      <c r="B373" s="93" t="s">
        <v>239</v>
      </c>
      <c r="C373" s="94">
        <v>2</v>
      </c>
      <c r="D373" s="92">
        <v>13202</v>
      </c>
      <c r="E373" s="95" t="s">
        <v>198</v>
      </c>
      <c r="F373" s="96">
        <v>132.20000000000002</v>
      </c>
      <c r="G373" s="96">
        <v>132.20000000000002</v>
      </c>
      <c r="H373" s="96">
        <v>132.20000000000002</v>
      </c>
      <c r="I373" s="96">
        <v>132.20000000000002</v>
      </c>
      <c r="J373" s="96">
        <v>132.20000000000002</v>
      </c>
      <c r="K373" s="96">
        <v>132.20000000000002</v>
      </c>
      <c r="L373" s="96">
        <v>132.20000000000002</v>
      </c>
      <c r="M373" s="96">
        <v>132.20000000000002</v>
      </c>
      <c r="N373" s="96">
        <v>132.20000000000002</v>
      </c>
      <c r="O373" s="96">
        <v>132.20000000000002</v>
      </c>
      <c r="P373" s="96">
        <v>132.20000000000002</v>
      </c>
      <c r="Q373" s="96">
        <v>132.20000000000002</v>
      </c>
      <c r="R373" s="97">
        <f t="shared" si="5"/>
        <v>1586.4000000000003</v>
      </c>
    </row>
    <row r="374" spans="1:18" s="98" customFormat="1" ht="15" customHeight="1">
      <c r="A374" s="92">
        <v>9005</v>
      </c>
      <c r="B374" s="93" t="s">
        <v>239</v>
      </c>
      <c r="C374" s="94">
        <v>2</v>
      </c>
      <c r="D374" s="92">
        <v>13203</v>
      </c>
      <c r="E374" s="95" t="s">
        <v>134</v>
      </c>
      <c r="F374" s="96">
        <v>22260.639999999999</v>
      </c>
      <c r="G374" s="96">
        <v>22260.639999999999</v>
      </c>
      <c r="H374" s="96">
        <v>22260.639999999999</v>
      </c>
      <c r="I374" s="96">
        <v>22260.639999999999</v>
      </c>
      <c r="J374" s="96">
        <v>22260.639999999999</v>
      </c>
      <c r="K374" s="96">
        <v>22260.639999999999</v>
      </c>
      <c r="L374" s="96">
        <v>22260.639999999999</v>
      </c>
      <c r="M374" s="96">
        <v>22260.639999999999</v>
      </c>
      <c r="N374" s="96">
        <v>22260.639999999999</v>
      </c>
      <c r="O374" s="96">
        <v>22260.639999999999</v>
      </c>
      <c r="P374" s="96">
        <v>22260.639999999999</v>
      </c>
      <c r="Q374" s="96">
        <v>22260.67</v>
      </c>
      <c r="R374" s="97">
        <f t="shared" si="5"/>
        <v>267127.71000000002</v>
      </c>
    </row>
    <row r="375" spans="1:18" s="98" customFormat="1" ht="15" customHeight="1">
      <c r="A375" s="92">
        <v>9005</v>
      </c>
      <c r="B375" s="93" t="s">
        <v>239</v>
      </c>
      <c r="C375" s="94">
        <v>2</v>
      </c>
      <c r="D375" s="92">
        <v>13401</v>
      </c>
      <c r="E375" s="95" t="s">
        <v>135</v>
      </c>
      <c r="F375" s="96">
        <v>11349.12</v>
      </c>
      <c r="G375" s="96">
        <v>11349.12</v>
      </c>
      <c r="H375" s="96">
        <v>11349.12</v>
      </c>
      <c r="I375" s="96">
        <v>11349.12</v>
      </c>
      <c r="J375" s="96">
        <v>11349.12</v>
      </c>
      <c r="K375" s="96">
        <v>11349.12</v>
      </c>
      <c r="L375" s="96">
        <v>11349.12</v>
      </c>
      <c r="M375" s="96">
        <v>11349.12</v>
      </c>
      <c r="N375" s="96">
        <v>11349.12</v>
      </c>
      <c r="O375" s="96">
        <v>11349.12</v>
      </c>
      <c r="P375" s="96">
        <v>11349.12</v>
      </c>
      <c r="Q375" s="96">
        <v>11349.12</v>
      </c>
      <c r="R375" s="97">
        <f t="shared" si="5"/>
        <v>136189.43999999997</v>
      </c>
    </row>
    <row r="376" spans="1:18" s="98" customFormat="1" ht="15" customHeight="1">
      <c r="A376" s="92">
        <v>9005</v>
      </c>
      <c r="B376" s="93" t="s">
        <v>239</v>
      </c>
      <c r="C376" s="94">
        <v>2</v>
      </c>
      <c r="D376" s="92">
        <v>14101</v>
      </c>
      <c r="E376" s="95" t="s">
        <v>136</v>
      </c>
      <c r="F376" s="96">
        <v>2967.98</v>
      </c>
      <c r="G376" s="96">
        <v>2967.98</v>
      </c>
      <c r="H376" s="96">
        <v>2967.98</v>
      </c>
      <c r="I376" s="96">
        <v>2967.98</v>
      </c>
      <c r="J376" s="96">
        <v>2967.98</v>
      </c>
      <c r="K376" s="96">
        <v>2967.98</v>
      </c>
      <c r="L376" s="96">
        <v>2967.98</v>
      </c>
      <c r="M376" s="96">
        <v>2967.98</v>
      </c>
      <c r="N376" s="96">
        <v>2967.98</v>
      </c>
      <c r="O376" s="96">
        <v>2967.98</v>
      </c>
      <c r="P376" s="96">
        <v>2967.98</v>
      </c>
      <c r="Q376" s="96">
        <v>2968.01</v>
      </c>
      <c r="R376" s="97">
        <f t="shared" si="5"/>
        <v>35615.79</v>
      </c>
    </row>
    <row r="377" spans="1:18" s="98" customFormat="1" ht="15" customHeight="1">
      <c r="A377" s="92">
        <v>9005</v>
      </c>
      <c r="B377" s="93" t="s">
        <v>239</v>
      </c>
      <c r="C377" s="94">
        <v>2</v>
      </c>
      <c r="D377" s="92">
        <v>14102</v>
      </c>
      <c r="E377" s="95" t="s">
        <v>137</v>
      </c>
      <c r="F377" s="96">
        <v>11807.470000000001</v>
      </c>
      <c r="G377" s="96">
        <v>11807.470000000001</v>
      </c>
      <c r="H377" s="96">
        <v>11807.470000000001</v>
      </c>
      <c r="I377" s="96">
        <v>11807.470000000001</v>
      </c>
      <c r="J377" s="96">
        <v>11807.470000000001</v>
      </c>
      <c r="K377" s="96">
        <v>11807.470000000001</v>
      </c>
      <c r="L377" s="96">
        <v>11807.470000000001</v>
      </c>
      <c r="M377" s="96">
        <v>11807.470000000001</v>
      </c>
      <c r="N377" s="96">
        <v>11807.470000000001</v>
      </c>
      <c r="O377" s="96">
        <v>11807.470000000001</v>
      </c>
      <c r="P377" s="96">
        <v>11807.470000000001</v>
      </c>
      <c r="Q377" s="96">
        <v>11807.470000000001</v>
      </c>
      <c r="R377" s="97">
        <f t="shared" si="5"/>
        <v>141689.64000000001</v>
      </c>
    </row>
    <row r="378" spans="1:18" s="98" customFormat="1" ht="15" customHeight="1">
      <c r="A378" s="92">
        <v>9005</v>
      </c>
      <c r="B378" s="93" t="s">
        <v>239</v>
      </c>
      <c r="C378" s="94">
        <v>2</v>
      </c>
      <c r="D378" s="92">
        <v>14103</v>
      </c>
      <c r="E378" s="95" t="s">
        <v>138</v>
      </c>
      <c r="F378" s="96">
        <v>963.64</v>
      </c>
      <c r="G378" s="96">
        <v>963.64</v>
      </c>
      <c r="H378" s="96">
        <v>963.64</v>
      </c>
      <c r="I378" s="96">
        <v>963.64</v>
      </c>
      <c r="J378" s="96">
        <v>963.64</v>
      </c>
      <c r="K378" s="96">
        <v>963.64</v>
      </c>
      <c r="L378" s="96">
        <v>963.64</v>
      </c>
      <c r="M378" s="96">
        <v>963.64</v>
      </c>
      <c r="N378" s="96">
        <v>963.64</v>
      </c>
      <c r="O378" s="96">
        <v>963.64</v>
      </c>
      <c r="P378" s="96">
        <v>963.64</v>
      </c>
      <c r="Q378" s="96">
        <v>963.72</v>
      </c>
      <c r="R378" s="97">
        <f t="shared" si="5"/>
        <v>11563.759999999998</v>
      </c>
    </row>
    <row r="379" spans="1:18" s="98" customFormat="1" ht="15" customHeight="1">
      <c r="A379" s="92">
        <v>9005</v>
      </c>
      <c r="B379" s="93" t="s">
        <v>239</v>
      </c>
      <c r="C379" s="94">
        <v>2</v>
      </c>
      <c r="D379" s="92">
        <v>15201</v>
      </c>
      <c r="E379" s="95" t="s">
        <v>139</v>
      </c>
      <c r="F379" s="96">
        <v>823.68</v>
      </c>
      <c r="G379" s="96">
        <v>823.68</v>
      </c>
      <c r="H379" s="96">
        <v>823.68</v>
      </c>
      <c r="I379" s="96">
        <v>823.68</v>
      </c>
      <c r="J379" s="96">
        <v>823.68</v>
      </c>
      <c r="K379" s="96">
        <v>823.68</v>
      </c>
      <c r="L379" s="96">
        <v>823.68</v>
      </c>
      <c r="M379" s="96">
        <v>823.68</v>
      </c>
      <c r="N379" s="96">
        <v>823.68</v>
      </c>
      <c r="O379" s="96">
        <v>823.68</v>
      </c>
      <c r="P379" s="96">
        <v>823.68</v>
      </c>
      <c r="Q379" s="96">
        <v>823.68</v>
      </c>
      <c r="R379" s="97">
        <f t="shared" si="5"/>
        <v>9884.1600000000017</v>
      </c>
    </row>
    <row r="380" spans="1:18" s="98" customFormat="1" ht="15" customHeight="1">
      <c r="A380" s="92">
        <v>9005</v>
      </c>
      <c r="B380" s="93" t="s">
        <v>239</v>
      </c>
      <c r="C380" s="94">
        <v>2</v>
      </c>
      <c r="D380" s="92">
        <v>15401</v>
      </c>
      <c r="E380" s="95" t="s">
        <v>140</v>
      </c>
      <c r="F380" s="96">
        <v>1304.7</v>
      </c>
      <c r="G380" s="96">
        <v>1304.7</v>
      </c>
      <c r="H380" s="96">
        <v>1304.7</v>
      </c>
      <c r="I380" s="96">
        <v>1304.7</v>
      </c>
      <c r="J380" s="96">
        <v>1304.7</v>
      </c>
      <c r="K380" s="96">
        <v>1304.7</v>
      </c>
      <c r="L380" s="96">
        <v>1304.7</v>
      </c>
      <c r="M380" s="96">
        <v>1304.7</v>
      </c>
      <c r="N380" s="96">
        <v>1304.7</v>
      </c>
      <c r="O380" s="96">
        <v>1304.7</v>
      </c>
      <c r="P380" s="96">
        <v>1304.7</v>
      </c>
      <c r="Q380" s="96">
        <v>1304.79</v>
      </c>
      <c r="R380" s="97">
        <f t="shared" si="5"/>
        <v>15656.490000000002</v>
      </c>
    </row>
    <row r="381" spans="1:18" s="98" customFormat="1" ht="15" customHeight="1">
      <c r="A381" s="92">
        <v>9005</v>
      </c>
      <c r="B381" s="93" t="s">
        <v>239</v>
      </c>
      <c r="C381" s="94">
        <v>2</v>
      </c>
      <c r="D381" s="92">
        <v>15404</v>
      </c>
      <c r="E381" s="95" t="s">
        <v>142</v>
      </c>
      <c r="F381" s="96">
        <v>5479.22</v>
      </c>
      <c r="G381" s="96">
        <v>5479.22</v>
      </c>
      <c r="H381" s="96">
        <v>5479.22</v>
      </c>
      <c r="I381" s="96">
        <v>5479.22</v>
      </c>
      <c r="J381" s="96">
        <v>5479.22</v>
      </c>
      <c r="K381" s="96">
        <v>5479.22</v>
      </c>
      <c r="L381" s="96">
        <v>5479.22</v>
      </c>
      <c r="M381" s="96">
        <v>5479.22</v>
      </c>
      <c r="N381" s="96">
        <v>5479.22</v>
      </c>
      <c r="O381" s="96">
        <v>5479.22</v>
      </c>
      <c r="P381" s="96">
        <v>5479.22</v>
      </c>
      <c r="Q381" s="96">
        <v>5479.22</v>
      </c>
      <c r="R381" s="97">
        <f t="shared" si="5"/>
        <v>65750.64</v>
      </c>
    </row>
    <row r="382" spans="1:18" s="98" customFormat="1" ht="15" customHeight="1">
      <c r="A382" s="92">
        <v>9005</v>
      </c>
      <c r="B382" s="93" t="s">
        <v>239</v>
      </c>
      <c r="C382" s="94">
        <v>2</v>
      </c>
      <c r="D382" s="92">
        <v>15405</v>
      </c>
      <c r="E382" s="95" t="s">
        <v>143</v>
      </c>
      <c r="F382" s="96">
        <v>949.4</v>
      </c>
      <c r="G382" s="96">
        <v>949.4</v>
      </c>
      <c r="H382" s="96">
        <v>949.4</v>
      </c>
      <c r="I382" s="96">
        <v>949.4</v>
      </c>
      <c r="J382" s="96">
        <v>949.4</v>
      </c>
      <c r="K382" s="96">
        <v>949.4</v>
      </c>
      <c r="L382" s="96">
        <v>949.4</v>
      </c>
      <c r="M382" s="96">
        <v>949.4</v>
      </c>
      <c r="N382" s="96">
        <v>949.4</v>
      </c>
      <c r="O382" s="96">
        <v>949.4</v>
      </c>
      <c r="P382" s="96">
        <v>949.4</v>
      </c>
      <c r="Q382" s="96">
        <v>949.4</v>
      </c>
      <c r="R382" s="97">
        <f t="shared" si="5"/>
        <v>11392.799999999997</v>
      </c>
    </row>
    <row r="383" spans="1:18" s="98" customFormat="1" ht="15" customHeight="1">
      <c r="A383" s="92">
        <v>9005</v>
      </c>
      <c r="B383" s="93" t="s">
        <v>239</v>
      </c>
      <c r="C383" s="94">
        <v>2</v>
      </c>
      <c r="D383" s="92">
        <v>15407</v>
      </c>
      <c r="E383" s="95" t="s">
        <v>144</v>
      </c>
      <c r="F383" s="99">
        <v>904.7</v>
      </c>
      <c r="G383" s="99">
        <v>904.7</v>
      </c>
      <c r="H383" s="99">
        <v>904.7</v>
      </c>
      <c r="I383" s="99">
        <v>904.7</v>
      </c>
      <c r="J383" s="99">
        <v>904.7</v>
      </c>
      <c r="K383" s="99">
        <v>904.7</v>
      </c>
      <c r="L383" s="99">
        <v>904.7</v>
      </c>
      <c r="M383" s="99">
        <v>904.7</v>
      </c>
      <c r="N383" s="99">
        <v>904.7</v>
      </c>
      <c r="O383" s="99">
        <v>904.7</v>
      </c>
      <c r="P383" s="99">
        <v>904.7</v>
      </c>
      <c r="Q383" s="99">
        <v>904.78</v>
      </c>
      <c r="R383" s="97">
        <f t="shared" si="5"/>
        <v>10856.480000000001</v>
      </c>
    </row>
    <row r="384" spans="1:18" s="98" customFormat="1" ht="15" customHeight="1">
      <c r="A384" s="92">
        <v>9005</v>
      </c>
      <c r="B384" s="93" t="s">
        <v>239</v>
      </c>
      <c r="C384" s="94">
        <v>2</v>
      </c>
      <c r="D384" s="92">
        <v>15903</v>
      </c>
      <c r="E384" s="95" t="s">
        <v>146</v>
      </c>
      <c r="F384" s="96">
        <v>0</v>
      </c>
      <c r="G384" s="96">
        <v>0</v>
      </c>
      <c r="H384" s="96">
        <v>0</v>
      </c>
      <c r="I384" s="96">
        <v>0</v>
      </c>
      <c r="J384" s="96">
        <v>0</v>
      </c>
      <c r="K384" s="96">
        <v>0</v>
      </c>
      <c r="L384" s="96">
        <v>0</v>
      </c>
      <c r="M384" s="96">
        <v>21600</v>
      </c>
      <c r="N384" s="96"/>
      <c r="O384" s="96"/>
      <c r="P384" s="96">
        <v>0</v>
      </c>
      <c r="Q384" s="96">
        <v>0</v>
      </c>
      <c r="R384" s="97">
        <f t="shared" si="5"/>
        <v>21600</v>
      </c>
    </row>
    <row r="385" spans="1:18" s="98" customFormat="1" ht="15" customHeight="1">
      <c r="A385" s="92">
        <v>9005</v>
      </c>
      <c r="B385" s="93" t="s">
        <v>239</v>
      </c>
      <c r="C385" s="94">
        <v>2</v>
      </c>
      <c r="D385" s="92">
        <v>15904</v>
      </c>
      <c r="E385" s="95" t="s">
        <v>147</v>
      </c>
      <c r="F385" s="96">
        <v>0</v>
      </c>
      <c r="G385" s="96">
        <v>0</v>
      </c>
      <c r="H385" s="96">
        <v>0</v>
      </c>
      <c r="I385" s="96">
        <v>0</v>
      </c>
      <c r="J385" s="96">
        <v>16800</v>
      </c>
      <c r="K385" s="96">
        <v>0</v>
      </c>
      <c r="L385" s="96">
        <v>0</v>
      </c>
      <c r="M385" s="96">
        <v>0</v>
      </c>
      <c r="N385" s="96">
        <v>0</v>
      </c>
      <c r="O385" s="96">
        <v>0</v>
      </c>
      <c r="P385" s="96">
        <v>0</v>
      </c>
      <c r="Q385" s="96">
        <v>0</v>
      </c>
      <c r="R385" s="97">
        <f t="shared" si="5"/>
        <v>16800</v>
      </c>
    </row>
    <row r="386" spans="1:18" s="98" customFormat="1" ht="15" customHeight="1">
      <c r="A386" s="92">
        <v>9005</v>
      </c>
      <c r="B386" s="93" t="s">
        <v>239</v>
      </c>
      <c r="C386" s="94">
        <v>2</v>
      </c>
      <c r="D386" s="92">
        <v>15905</v>
      </c>
      <c r="E386" s="95" t="s">
        <v>148</v>
      </c>
      <c r="F386" s="96">
        <v>0</v>
      </c>
      <c r="G386" s="96">
        <v>0</v>
      </c>
      <c r="H386" s="96">
        <v>0</v>
      </c>
      <c r="I386" s="96">
        <v>0</v>
      </c>
      <c r="J386" s="96">
        <v>0</v>
      </c>
      <c r="K386" s="96">
        <v>2400</v>
      </c>
      <c r="L386" s="96">
        <v>0</v>
      </c>
      <c r="M386" s="96">
        <v>0</v>
      </c>
      <c r="N386" s="96">
        <v>0</v>
      </c>
      <c r="O386" s="96">
        <v>0</v>
      </c>
      <c r="P386" s="96">
        <v>0</v>
      </c>
      <c r="Q386" s="96">
        <v>0</v>
      </c>
      <c r="R386" s="97">
        <f t="shared" si="5"/>
        <v>2400</v>
      </c>
    </row>
    <row r="387" spans="1:18" s="98" customFormat="1" ht="15" customHeight="1">
      <c r="A387" s="94">
        <v>9005</v>
      </c>
      <c r="B387" s="93" t="s">
        <v>239</v>
      </c>
      <c r="C387" s="94">
        <v>2</v>
      </c>
      <c r="D387" s="94">
        <v>21101</v>
      </c>
      <c r="E387" s="93" t="s">
        <v>150</v>
      </c>
      <c r="F387" s="99">
        <v>2500</v>
      </c>
      <c r="G387" s="99">
        <v>2500</v>
      </c>
      <c r="H387" s="99">
        <v>2000</v>
      </c>
      <c r="I387" s="99">
        <v>2500</v>
      </c>
      <c r="J387" s="99">
        <v>1000</v>
      </c>
      <c r="K387" s="99">
        <v>2500</v>
      </c>
      <c r="L387" s="99">
        <v>2500</v>
      </c>
      <c r="M387" s="99">
        <v>2500</v>
      </c>
      <c r="N387" s="99">
        <v>1000</v>
      </c>
      <c r="O387" s="99">
        <v>2500</v>
      </c>
      <c r="P387" s="99">
        <v>1000</v>
      </c>
      <c r="Q387" s="99">
        <v>2500</v>
      </c>
      <c r="R387" s="97">
        <f t="shared" si="5"/>
        <v>25000</v>
      </c>
    </row>
    <row r="388" spans="1:18" s="98" customFormat="1" ht="15" customHeight="1">
      <c r="A388" s="94">
        <v>9005</v>
      </c>
      <c r="B388" s="93" t="s">
        <v>239</v>
      </c>
      <c r="C388" s="94">
        <v>2</v>
      </c>
      <c r="D388" s="94">
        <v>21401</v>
      </c>
      <c r="E388" s="93" t="s">
        <v>151</v>
      </c>
      <c r="F388" s="99">
        <v>2500</v>
      </c>
      <c r="G388" s="99">
        <v>2500</v>
      </c>
      <c r="H388" s="99">
        <v>2500</v>
      </c>
      <c r="I388" s="99">
        <v>2500</v>
      </c>
      <c r="J388" s="99">
        <v>5000</v>
      </c>
      <c r="K388" s="99">
        <v>2500</v>
      </c>
      <c r="L388" s="99">
        <v>2500</v>
      </c>
      <c r="M388" s="99">
        <v>2500</v>
      </c>
      <c r="N388" s="99">
        <v>2500</v>
      </c>
      <c r="O388" s="99">
        <v>2500</v>
      </c>
      <c r="P388" s="99">
        <v>5000</v>
      </c>
      <c r="Q388" s="99">
        <v>2500</v>
      </c>
      <c r="R388" s="97">
        <f t="shared" si="5"/>
        <v>35000</v>
      </c>
    </row>
    <row r="389" spans="1:18" s="98" customFormat="1" ht="15" customHeight="1">
      <c r="A389" s="94">
        <v>9005</v>
      </c>
      <c r="B389" s="93" t="s">
        <v>239</v>
      </c>
      <c r="C389" s="94">
        <v>2</v>
      </c>
      <c r="D389" s="94">
        <v>22101</v>
      </c>
      <c r="E389" s="93" t="s">
        <v>152</v>
      </c>
      <c r="F389" s="99">
        <v>1500</v>
      </c>
      <c r="G389" s="99"/>
      <c r="H389" s="99"/>
      <c r="I389" s="99"/>
      <c r="J389" s="99"/>
      <c r="K389" s="99"/>
      <c r="L389" s="99"/>
      <c r="M389" s="99"/>
      <c r="N389" s="99"/>
      <c r="O389" s="99"/>
      <c r="P389" s="99"/>
      <c r="Q389" s="99"/>
      <c r="R389" s="97">
        <f t="shared" si="5"/>
        <v>1500</v>
      </c>
    </row>
    <row r="390" spans="1:18" s="98" customFormat="1" ht="15" customHeight="1">
      <c r="A390" s="94">
        <v>9005</v>
      </c>
      <c r="B390" s="93" t="s">
        <v>239</v>
      </c>
      <c r="C390" s="94">
        <v>2</v>
      </c>
      <c r="D390" s="94">
        <v>24601</v>
      </c>
      <c r="E390" s="93" t="s">
        <v>220</v>
      </c>
      <c r="F390" s="99"/>
      <c r="G390" s="99"/>
      <c r="H390" s="99"/>
      <c r="I390" s="99"/>
      <c r="J390" s="99"/>
      <c r="K390" s="99"/>
      <c r="L390" s="99">
        <v>1500</v>
      </c>
      <c r="M390" s="99"/>
      <c r="N390" s="99"/>
      <c r="O390" s="99"/>
      <c r="P390" s="99"/>
      <c r="Q390" s="99"/>
      <c r="R390" s="97">
        <f t="shared" si="5"/>
        <v>1500</v>
      </c>
    </row>
    <row r="391" spans="1:18" s="98" customFormat="1" ht="15" customHeight="1">
      <c r="A391" s="94">
        <v>9005</v>
      </c>
      <c r="B391" s="93" t="s">
        <v>239</v>
      </c>
      <c r="C391" s="94">
        <v>2</v>
      </c>
      <c r="D391" s="94">
        <v>26101</v>
      </c>
      <c r="E391" s="93" t="s">
        <v>153</v>
      </c>
      <c r="F391" s="99">
        <v>4650</v>
      </c>
      <c r="G391" s="99">
        <v>4650</v>
      </c>
      <c r="H391" s="99">
        <v>4650</v>
      </c>
      <c r="I391" s="99">
        <v>4650</v>
      </c>
      <c r="J391" s="99">
        <v>4650</v>
      </c>
      <c r="K391" s="99">
        <v>4650</v>
      </c>
      <c r="L391" s="99">
        <v>4650</v>
      </c>
      <c r="M391" s="99">
        <v>4650</v>
      </c>
      <c r="N391" s="99">
        <v>4650</v>
      </c>
      <c r="O391" s="99">
        <v>4650</v>
      </c>
      <c r="P391" s="99">
        <v>4650</v>
      </c>
      <c r="Q391" s="99">
        <v>4650</v>
      </c>
      <c r="R391" s="97">
        <f t="shared" si="5"/>
        <v>55800</v>
      </c>
    </row>
    <row r="392" spans="1:18" s="98" customFormat="1" ht="15" customHeight="1">
      <c r="A392" s="94">
        <v>9005</v>
      </c>
      <c r="B392" s="93" t="s">
        <v>239</v>
      </c>
      <c r="C392" s="94">
        <v>2</v>
      </c>
      <c r="D392" s="94">
        <v>29401</v>
      </c>
      <c r="E392" s="93" t="s">
        <v>155</v>
      </c>
      <c r="F392" s="99">
        <v>200</v>
      </c>
      <c r="G392" s="99"/>
      <c r="H392" s="99">
        <v>200</v>
      </c>
      <c r="I392" s="99">
        <v>200</v>
      </c>
      <c r="J392" s="99">
        <v>200</v>
      </c>
      <c r="K392" s="99"/>
      <c r="L392" s="99">
        <v>200</v>
      </c>
      <c r="M392" s="99">
        <v>200</v>
      </c>
      <c r="N392" s="99"/>
      <c r="O392" s="99">
        <v>200</v>
      </c>
      <c r="P392" s="99">
        <v>200</v>
      </c>
      <c r="Q392" s="99">
        <v>200</v>
      </c>
      <c r="R392" s="97">
        <f t="shared" si="5"/>
        <v>1800</v>
      </c>
    </row>
    <row r="393" spans="1:18" s="98" customFormat="1" ht="15" customHeight="1">
      <c r="A393" s="94">
        <v>9005</v>
      </c>
      <c r="B393" s="93" t="s">
        <v>239</v>
      </c>
      <c r="C393" s="94">
        <v>2</v>
      </c>
      <c r="D393" s="102">
        <v>29601</v>
      </c>
      <c r="E393" s="103" t="s">
        <v>225</v>
      </c>
      <c r="F393" s="99"/>
      <c r="G393" s="99">
        <v>8000</v>
      </c>
      <c r="H393" s="99"/>
      <c r="I393" s="99"/>
      <c r="J393" s="99"/>
      <c r="K393" s="99"/>
      <c r="L393" s="99"/>
      <c r="M393" s="99"/>
      <c r="N393" s="99"/>
      <c r="O393" s="99"/>
      <c r="P393" s="99"/>
      <c r="Q393" s="99"/>
      <c r="R393" s="97">
        <f t="shared" ref="R393:R434" si="6">SUM(F393:Q393)</f>
        <v>8000</v>
      </c>
    </row>
    <row r="394" spans="1:18" s="98" customFormat="1" ht="15" customHeight="1">
      <c r="A394" s="94">
        <v>9005</v>
      </c>
      <c r="B394" s="93" t="s">
        <v>239</v>
      </c>
      <c r="C394" s="94">
        <v>2</v>
      </c>
      <c r="D394" s="102">
        <v>29602</v>
      </c>
      <c r="E394" s="103" t="s">
        <v>156</v>
      </c>
      <c r="F394" s="99">
        <v>780</v>
      </c>
      <c r="G394" s="99"/>
      <c r="H394" s="99"/>
      <c r="I394" s="99"/>
      <c r="J394" s="99"/>
      <c r="K394" s="99"/>
      <c r="L394" s="99">
        <v>780</v>
      </c>
      <c r="M394" s="99"/>
      <c r="N394" s="99"/>
      <c r="O394" s="99"/>
      <c r="P394" s="99"/>
      <c r="Q394" s="99"/>
      <c r="R394" s="97">
        <f t="shared" si="6"/>
        <v>1560</v>
      </c>
    </row>
    <row r="395" spans="1:18" s="98" customFormat="1" ht="15" customHeight="1">
      <c r="A395" s="94">
        <v>9005</v>
      </c>
      <c r="B395" s="93" t="s">
        <v>239</v>
      </c>
      <c r="C395" s="94">
        <v>2</v>
      </c>
      <c r="D395" s="94">
        <v>31101</v>
      </c>
      <c r="E395" s="93" t="s">
        <v>157</v>
      </c>
      <c r="F395" s="99">
        <v>592</v>
      </c>
      <c r="G395" s="99">
        <v>592</v>
      </c>
      <c r="H395" s="99">
        <v>592</v>
      </c>
      <c r="I395" s="99">
        <v>592</v>
      </c>
      <c r="J395" s="99">
        <v>592</v>
      </c>
      <c r="K395" s="99">
        <v>592</v>
      </c>
      <c r="L395" s="99">
        <v>592</v>
      </c>
      <c r="M395" s="99">
        <v>592</v>
      </c>
      <c r="N395" s="99">
        <v>592</v>
      </c>
      <c r="O395" s="99">
        <v>592</v>
      </c>
      <c r="P395" s="99">
        <v>592</v>
      </c>
      <c r="Q395" s="99">
        <v>592</v>
      </c>
      <c r="R395" s="97">
        <f t="shared" si="6"/>
        <v>7104</v>
      </c>
    </row>
    <row r="396" spans="1:18" s="98" customFormat="1" ht="15" customHeight="1">
      <c r="A396" s="94">
        <v>9005</v>
      </c>
      <c r="B396" s="93" t="s">
        <v>239</v>
      </c>
      <c r="C396" s="94">
        <v>2</v>
      </c>
      <c r="D396" s="94">
        <v>37501</v>
      </c>
      <c r="E396" s="93" t="s">
        <v>168</v>
      </c>
      <c r="F396" s="99"/>
      <c r="G396" s="99"/>
      <c r="H396" s="99">
        <v>1500</v>
      </c>
      <c r="I396" s="99"/>
      <c r="J396" s="99"/>
      <c r="K396" s="99"/>
      <c r="L396" s="99"/>
      <c r="M396" s="99">
        <v>1500</v>
      </c>
      <c r="N396" s="99"/>
      <c r="O396" s="99"/>
      <c r="P396" s="99"/>
      <c r="Q396" s="99"/>
      <c r="R396" s="97">
        <f t="shared" si="6"/>
        <v>3000</v>
      </c>
    </row>
    <row r="397" spans="1:18" s="98" customFormat="1" ht="15" customHeight="1">
      <c r="A397" s="94">
        <v>9005</v>
      </c>
      <c r="B397" s="93" t="s">
        <v>239</v>
      </c>
      <c r="C397" s="94">
        <v>2</v>
      </c>
      <c r="D397" s="94">
        <v>37502</v>
      </c>
      <c r="E397" s="100" t="s">
        <v>169</v>
      </c>
      <c r="F397" s="99"/>
      <c r="G397" s="99"/>
      <c r="H397" s="99">
        <v>1500</v>
      </c>
      <c r="I397" s="99"/>
      <c r="J397" s="99"/>
      <c r="K397" s="99"/>
      <c r="L397" s="99"/>
      <c r="M397" s="99">
        <v>1000</v>
      </c>
      <c r="N397" s="99"/>
      <c r="O397" s="99"/>
      <c r="P397" s="99"/>
      <c r="Q397" s="99"/>
      <c r="R397" s="97">
        <f t="shared" si="6"/>
        <v>2500</v>
      </c>
    </row>
    <row r="398" spans="1:18" s="98" customFormat="1" ht="15" customHeight="1">
      <c r="A398" s="94">
        <v>9005</v>
      </c>
      <c r="B398" s="93" t="s">
        <v>239</v>
      </c>
      <c r="C398" s="94">
        <v>2</v>
      </c>
      <c r="D398" s="92">
        <v>39801</v>
      </c>
      <c r="E398" s="95" t="s">
        <v>176</v>
      </c>
      <c r="F398" s="96">
        <v>451.34999999999997</v>
      </c>
      <c r="G398" s="96">
        <v>451.34999999999997</v>
      </c>
      <c r="H398" s="96">
        <v>451.34999999999997</v>
      </c>
      <c r="I398" s="96">
        <v>451.34999999999997</v>
      </c>
      <c r="J398" s="96">
        <v>451.34999999999997</v>
      </c>
      <c r="K398" s="96">
        <v>451.34999999999997</v>
      </c>
      <c r="L398" s="96">
        <v>451.34999999999997</v>
      </c>
      <c r="M398" s="96">
        <v>451.34999999999997</v>
      </c>
      <c r="N398" s="96">
        <v>451.34999999999997</v>
      </c>
      <c r="O398" s="96">
        <v>451.34999999999997</v>
      </c>
      <c r="P398" s="96">
        <v>451.34999999999997</v>
      </c>
      <c r="Q398" s="96">
        <v>451.34999999999997</v>
      </c>
      <c r="R398" s="97">
        <f t="shared" si="6"/>
        <v>5416.2000000000007</v>
      </c>
    </row>
    <row r="399" spans="1:18" s="98" customFormat="1" ht="15" customHeight="1">
      <c r="A399" s="94">
        <v>9005</v>
      </c>
      <c r="B399" s="93" t="s">
        <v>239</v>
      </c>
      <c r="C399" s="94">
        <v>2</v>
      </c>
      <c r="D399" s="92">
        <v>39802</v>
      </c>
      <c r="E399" s="95" t="s">
        <v>177</v>
      </c>
      <c r="F399" s="96">
        <v>451.35</v>
      </c>
      <c r="G399" s="96">
        <v>451.35</v>
      </c>
      <c r="H399" s="96">
        <v>451.35</v>
      </c>
      <c r="I399" s="96">
        <v>451.35</v>
      </c>
      <c r="J399" s="96">
        <v>451.35</v>
      </c>
      <c r="K399" s="96">
        <v>451.35</v>
      </c>
      <c r="L399" s="96">
        <v>451.35</v>
      </c>
      <c r="M399" s="96">
        <v>451.35</v>
      </c>
      <c r="N399" s="96">
        <v>451.35</v>
      </c>
      <c r="O399" s="96">
        <v>451.35</v>
      </c>
      <c r="P399" s="96">
        <v>451.35</v>
      </c>
      <c r="Q399" s="96">
        <v>451.35</v>
      </c>
      <c r="R399" s="97">
        <f t="shared" si="6"/>
        <v>5416.2000000000007</v>
      </c>
    </row>
    <row r="400" spans="1:18" s="98" customFormat="1" ht="15" customHeight="1">
      <c r="A400" s="94">
        <v>9005</v>
      </c>
      <c r="B400" s="93" t="s">
        <v>239</v>
      </c>
      <c r="C400" s="94">
        <v>2</v>
      </c>
      <c r="D400" s="92">
        <v>39803</v>
      </c>
      <c r="E400" s="95" t="s">
        <v>178</v>
      </c>
      <c r="F400" s="96">
        <v>3008.99</v>
      </c>
      <c r="G400" s="96">
        <v>3008.99</v>
      </c>
      <c r="H400" s="96">
        <v>3008.99</v>
      </c>
      <c r="I400" s="96">
        <v>3008.99</v>
      </c>
      <c r="J400" s="96">
        <v>3008.99</v>
      </c>
      <c r="K400" s="96">
        <v>3008.99</v>
      </c>
      <c r="L400" s="96">
        <v>3008.99</v>
      </c>
      <c r="M400" s="96">
        <v>3008.99</v>
      </c>
      <c r="N400" s="96">
        <v>3008.99</v>
      </c>
      <c r="O400" s="96">
        <v>3008.99</v>
      </c>
      <c r="P400" s="96">
        <v>3008.99</v>
      </c>
      <c r="Q400" s="96">
        <v>3009.09</v>
      </c>
      <c r="R400" s="97">
        <f t="shared" si="6"/>
        <v>36107.979999999996</v>
      </c>
    </row>
    <row r="401" spans="1:18" s="98" customFormat="1" ht="15" customHeight="1">
      <c r="A401" s="94">
        <v>9005</v>
      </c>
      <c r="B401" s="93" t="s">
        <v>239</v>
      </c>
      <c r="C401" s="94">
        <v>2</v>
      </c>
      <c r="D401" s="92">
        <v>39804</v>
      </c>
      <c r="E401" s="95" t="s">
        <v>179</v>
      </c>
      <c r="F401" s="96">
        <v>451.35</v>
      </c>
      <c r="G401" s="96">
        <v>451.35</v>
      </c>
      <c r="H401" s="96">
        <v>451.35</v>
      </c>
      <c r="I401" s="96">
        <v>451.35</v>
      </c>
      <c r="J401" s="96">
        <v>451.35</v>
      </c>
      <c r="K401" s="96">
        <v>451.35</v>
      </c>
      <c r="L401" s="96">
        <v>451.35</v>
      </c>
      <c r="M401" s="96">
        <v>451.35</v>
      </c>
      <c r="N401" s="96">
        <v>451.35</v>
      </c>
      <c r="O401" s="96">
        <v>451.35</v>
      </c>
      <c r="P401" s="96">
        <v>451.35</v>
      </c>
      <c r="Q401" s="96">
        <v>451.35</v>
      </c>
      <c r="R401" s="97">
        <f t="shared" si="6"/>
        <v>5416.2000000000007</v>
      </c>
    </row>
    <row r="402" spans="1:18" s="98" customFormat="1" ht="15" customHeight="1">
      <c r="A402" s="94">
        <v>9005</v>
      </c>
      <c r="B402" s="93" t="s">
        <v>239</v>
      </c>
      <c r="C402" s="94">
        <v>2</v>
      </c>
      <c r="D402" s="92">
        <v>51101</v>
      </c>
      <c r="E402" s="95" t="s">
        <v>181</v>
      </c>
      <c r="F402" s="96"/>
      <c r="G402" s="96"/>
      <c r="H402" s="96"/>
      <c r="I402" s="99">
        <v>12500</v>
      </c>
      <c r="J402" s="99"/>
      <c r="K402" s="99"/>
      <c r="L402" s="99"/>
      <c r="M402" s="99"/>
      <c r="N402" s="99"/>
      <c r="O402" s="99"/>
      <c r="P402" s="99"/>
      <c r="Q402" s="99"/>
      <c r="R402" s="97">
        <f t="shared" si="6"/>
        <v>12500</v>
      </c>
    </row>
    <row r="403" spans="1:18" s="98" customFormat="1" ht="15" customHeight="1">
      <c r="A403" s="94">
        <v>9005</v>
      </c>
      <c r="B403" s="93" t="s">
        <v>239</v>
      </c>
      <c r="C403" s="94">
        <v>2</v>
      </c>
      <c r="D403" s="92">
        <v>51501</v>
      </c>
      <c r="E403" s="95" t="s">
        <v>200</v>
      </c>
      <c r="F403" s="96"/>
      <c r="G403" s="99">
        <v>12500</v>
      </c>
      <c r="H403" s="96"/>
      <c r="I403" s="99"/>
      <c r="J403" s="99"/>
      <c r="K403" s="99"/>
      <c r="L403" s="99"/>
      <c r="M403" s="99"/>
      <c r="N403" s="99"/>
      <c r="O403" s="99"/>
      <c r="P403" s="99"/>
      <c r="Q403" s="99"/>
      <c r="R403" s="97">
        <f t="shared" si="6"/>
        <v>12500</v>
      </c>
    </row>
    <row r="404" spans="1:18" s="98" customFormat="1" ht="15" customHeight="1">
      <c r="A404" s="92">
        <v>9006</v>
      </c>
      <c r="B404" s="93" t="s">
        <v>240</v>
      </c>
      <c r="C404" s="94">
        <v>2</v>
      </c>
      <c r="D404" s="92">
        <v>11301</v>
      </c>
      <c r="E404" s="95" t="s">
        <v>128</v>
      </c>
      <c r="F404" s="96">
        <v>57900.27</v>
      </c>
      <c r="G404" s="96">
        <v>57900.27</v>
      </c>
      <c r="H404" s="96">
        <v>57900.27</v>
      </c>
      <c r="I404" s="96">
        <v>57900.27</v>
      </c>
      <c r="J404" s="96">
        <v>57900.27</v>
      </c>
      <c r="K404" s="96">
        <v>57900.27</v>
      </c>
      <c r="L404" s="96">
        <v>57900.27</v>
      </c>
      <c r="M404" s="96">
        <v>57900.27</v>
      </c>
      <c r="N404" s="96">
        <v>57900.27</v>
      </c>
      <c r="O404" s="96">
        <v>57900.27</v>
      </c>
      <c r="P404" s="96">
        <v>57900.27</v>
      </c>
      <c r="Q404" s="96">
        <v>57900.31</v>
      </c>
      <c r="R404" s="97">
        <f t="shared" si="6"/>
        <v>694803.28</v>
      </c>
    </row>
    <row r="405" spans="1:18" s="98" customFormat="1" ht="15" customHeight="1">
      <c r="A405" s="92">
        <v>9006</v>
      </c>
      <c r="B405" s="93" t="s">
        <v>240</v>
      </c>
      <c r="C405" s="94">
        <v>2</v>
      </c>
      <c r="D405" s="92">
        <v>11302</v>
      </c>
      <c r="E405" s="95" t="s">
        <v>129</v>
      </c>
      <c r="F405" s="96">
        <v>57900.27</v>
      </c>
      <c r="G405" s="96">
        <v>57900.27</v>
      </c>
      <c r="H405" s="96">
        <v>57900.27</v>
      </c>
      <c r="I405" s="96">
        <v>57900.27</v>
      </c>
      <c r="J405" s="96">
        <v>57900.27</v>
      </c>
      <c r="K405" s="96">
        <v>57900.27</v>
      </c>
      <c r="L405" s="96">
        <v>57900.27</v>
      </c>
      <c r="M405" s="96">
        <v>57900.27</v>
      </c>
      <c r="N405" s="96">
        <v>57900.27</v>
      </c>
      <c r="O405" s="96">
        <v>57900.27</v>
      </c>
      <c r="P405" s="96">
        <v>57900.27</v>
      </c>
      <c r="Q405" s="96">
        <v>57900.31</v>
      </c>
      <c r="R405" s="97">
        <f t="shared" si="6"/>
        <v>694803.28</v>
      </c>
    </row>
    <row r="406" spans="1:18" s="98" customFormat="1" ht="15" customHeight="1">
      <c r="A406" s="92">
        <v>9006</v>
      </c>
      <c r="B406" s="93" t="s">
        <v>240</v>
      </c>
      <c r="C406" s="94">
        <v>2</v>
      </c>
      <c r="D406" s="92">
        <v>11304</v>
      </c>
      <c r="E406" s="95" t="s">
        <v>131</v>
      </c>
      <c r="F406" s="96">
        <v>19915.849999999999</v>
      </c>
      <c r="G406" s="96">
        <v>19915.849999999999</v>
      </c>
      <c r="H406" s="96">
        <v>19915.849999999999</v>
      </c>
      <c r="I406" s="96">
        <v>19915.849999999999</v>
      </c>
      <c r="J406" s="96">
        <v>19915.849999999999</v>
      </c>
      <c r="K406" s="96">
        <v>19915.849999999999</v>
      </c>
      <c r="L406" s="96">
        <v>19915.849999999999</v>
      </c>
      <c r="M406" s="96">
        <v>19915.849999999999</v>
      </c>
      <c r="N406" s="96">
        <v>19915.849999999999</v>
      </c>
      <c r="O406" s="96">
        <v>19915.849999999999</v>
      </c>
      <c r="P406" s="96">
        <v>19915.849999999999</v>
      </c>
      <c r="Q406" s="96">
        <v>19916.25</v>
      </c>
      <c r="R406" s="97">
        <f t="shared" si="6"/>
        <v>238990.60000000003</v>
      </c>
    </row>
    <row r="407" spans="1:18" s="98" customFormat="1" ht="15" customHeight="1">
      <c r="A407" s="92">
        <v>9006</v>
      </c>
      <c r="B407" s="93" t="s">
        <v>240</v>
      </c>
      <c r="C407" s="94">
        <v>2</v>
      </c>
      <c r="D407" s="92">
        <v>13101</v>
      </c>
      <c r="E407" s="95" t="s">
        <v>132</v>
      </c>
      <c r="F407" s="96">
        <v>2224.5</v>
      </c>
      <c r="G407" s="96">
        <v>2224.5</v>
      </c>
      <c r="H407" s="96">
        <v>2224.5</v>
      </c>
      <c r="I407" s="96">
        <v>2224.5</v>
      </c>
      <c r="J407" s="96">
        <v>2224.5</v>
      </c>
      <c r="K407" s="96">
        <v>2224.5</v>
      </c>
      <c r="L407" s="96">
        <v>2224.5</v>
      </c>
      <c r="M407" s="96">
        <v>2224.5</v>
      </c>
      <c r="N407" s="96">
        <v>2224.5</v>
      </c>
      <c r="O407" s="96">
        <v>2224.5</v>
      </c>
      <c r="P407" s="96">
        <v>2224.5</v>
      </c>
      <c r="Q407" s="96">
        <v>2224.5</v>
      </c>
      <c r="R407" s="97">
        <f t="shared" si="6"/>
        <v>26694</v>
      </c>
    </row>
    <row r="408" spans="1:18" s="98" customFormat="1" ht="15" customHeight="1">
      <c r="A408" s="92">
        <v>9006</v>
      </c>
      <c r="B408" s="93" t="s">
        <v>240</v>
      </c>
      <c r="C408" s="94">
        <v>2</v>
      </c>
      <c r="D408" s="92">
        <v>13201</v>
      </c>
      <c r="E408" s="95" t="s">
        <v>133</v>
      </c>
      <c r="F408" s="96">
        <v>2450.4299999999998</v>
      </c>
      <c r="G408" s="96">
        <v>2450.4299999999998</v>
      </c>
      <c r="H408" s="96">
        <v>2450.4299999999998</v>
      </c>
      <c r="I408" s="96">
        <v>2450.4299999999998</v>
      </c>
      <c r="J408" s="96">
        <v>2450.4299999999998</v>
      </c>
      <c r="K408" s="96">
        <v>2450.4299999999998</v>
      </c>
      <c r="L408" s="96">
        <v>2450.4299999999998</v>
      </c>
      <c r="M408" s="96">
        <v>2450.4299999999998</v>
      </c>
      <c r="N408" s="96">
        <v>2450.4299999999998</v>
      </c>
      <c r="O408" s="96">
        <v>2450.4299999999998</v>
      </c>
      <c r="P408" s="96">
        <v>2450.4299999999998</v>
      </c>
      <c r="Q408" s="96">
        <v>2450.5</v>
      </c>
      <c r="R408" s="97">
        <f t="shared" si="6"/>
        <v>29405.23</v>
      </c>
    </row>
    <row r="409" spans="1:18" s="98" customFormat="1" ht="15" customHeight="1">
      <c r="A409" s="92">
        <v>9006</v>
      </c>
      <c r="B409" s="93" t="s">
        <v>240</v>
      </c>
      <c r="C409" s="94">
        <v>2</v>
      </c>
      <c r="D409" s="92">
        <v>13203</v>
      </c>
      <c r="E409" s="95" t="s">
        <v>134</v>
      </c>
      <c r="F409" s="96">
        <v>33601.18</v>
      </c>
      <c r="G409" s="96">
        <v>33601.18</v>
      </c>
      <c r="H409" s="96">
        <v>33601.18</v>
      </c>
      <c r="I409" s="96">
        <v>33601.18</v>
      </c>
      <c r="J409" s="96">
        <v>33601.18</v>
      </c>
      <c r="K409" s="96">
        <v>33601.18</v>
      </c>
      <c r="L409" s="96">
        <v>33601.18</v>
      </c>
      <c r="M409" s="96">
        <v>33601.18</v>
      </c>
      <c r="N409" s="96">
        <v>33601.18</v>
      </c>
      <c r="O409" s="96">
        <v>33601.18</v>
      </c>
      <c r="P409" s="96">
        <v>33601.18</v>
      </c>
      <c r="Q409" s="96">
        <v>33601.22</v>
      </c>
      <c r="R409" s="97">
        <f t="shared" si="6"/>
        <v>403214.19999999995</v>
      </c>
    </row>
    <row r="410" spans="1:18" s="98" customFormat="1" ht="15" customHeight="1">
      <c r="A410" s="92">
        <v>9006</v>
      </c>
      <c r="B410" s="93" t="s">
        <v>240</v>
      </c>
      <c r="C410" s="94">
        <v>2</v>
      </c>
      <c r="D410" s="92">
        <v>13401</v>
      </c>
      <c r="E410" s="95" t="s">
        <v>135</v>
      </c>
      <c r="F410" s="96">
        <v>7754.07</v>
      </c>
      <c r="G410" s="96">
        <v>7754.07</v>
      </c>
      <c r="H410" s="96">
        <v>7754.07</v>
      </c>
      <c r="I410" s="96">
        <v>7754.07</v>
      </c>
      <c r="J410" s="96">
        <v>7754.07</v>
      </c>
      <c r="K410" s="96">
        <v>7754.07</v>
      </c>
      <c r="L410" s="96">
        <v>7754.07</v>
      </c>
      <c r="M410" s="96">
        <v>7754.07</v>
      </c>
      <c r="N410" s="96">
        <v>7754.07</v>
      </c>
      <c r="O410" s="96">
        <v>7754.07</v>
      </c>
      <c r="P410" s="96">
        <v>7754.07</v>
      </c>
      <c r="Q410" s="96">
        <v>7754.07</v>
      </c>
      <c r="R410" s="97">
        <f t="shared" si="6"/>
        <v>93048.840000000026</v>
      </c>
    </row>
    <row r="411" spans="1:18" s="98" customFormat="1" ht="15" customHeight="1">
      <c r="A411" s="92">
        <v>9006</v>
      </c>
      <c r="B411" s="93" t="s">
        <v>240</v>
      </c>
      <c r="C411" s="94">
        <v>2</v>
      </c>
      <c r="D411" s="92">
        <v>14101</v>
      </c>
      <c r="E411" s="95" t="s">
        <v>136</v>
      </c>
      <c r="F411" s="96">
        <v>4757.54</v>
      </c>
      <c r="G411" s="96">
        <v>4757.54</v>
      </c>
      <c r="H411" s="96">
        <v>4757.54</v>
      </c>
      <c r="I411" s="96">
        <v>4757.54</v>
      </c>
      <c r="J411" s="96">
        <v>4757.54</v>
      </c>
      <c r="K411" s="96">
        <v>4757.54</v>
      </c>
      <c r="L411" s="96">
        <v>4757.54</v>
      </c>
      <c r="M411" s="96">
        <v>4757.54</v>
      </c>
      <c r="N411" s="96">
        <v>4757.54</v>
      </c>
      <c r="O411" s="96">
        <v>4757.54</v>
      </c>
      <c r="P411" s="96">
        <v>4757.54</v>
      </c>
      <c r="Q411" s="96">
        <v>4757.5600000000004</v>
      </c>
      <c r="R411" s="97">
        <f t="shared" si="6"/>
        <v>57090.5</v>
      </c>
    </row>
    <row r="412" spans="1:18" s="98" customFormat="1" ht="15" customHeight="1">
      <c r="A412" s="92">
        <v>9006</v>
      </c>
      <c r="B412" s="93" t="s">
        <v>240</v>
      </c>
      <c r="C412" s="94">
        <v>2</v>
      </c>
      <c r="D412" s="92">
        <v>14102</v>
      </c>
      <c r="E412" s="95" t="s">
        <v>137</v>
      </c>
      <c r="F412" s="96">
        <v>18932.8</v>
      </c>
      <c r="G412" s="96">
        <v>18932.8</v>
      </c>
      <c r="H412" s="96">
        <v>18932.8</v>
      </c>
      <c r="I412" s="96">
        <v>18932.8</v>
      </c>
      <c r="J412" s="96">
        <v>18932.8</v>
      </c>
      <c r="K412" s="96">
        <v>18932.8</v>
      </c>
      <c r="L412" s="96">
        <v>18932.8</v>
      </c>
      <c r="M412" s="96">
        <v>18932.8</v>
      </c>
      <c r="N412" s="96">
        <v>18932.8</v>
      </c>
      <c r="O412" s="96">
        <v>18932.8</v>
      </c>
      <c r="P412" s="96">
        <v>18932.8</v>
      </c>
      <c r="Q412" s="96">
        <v>18932.88</v>
      </c>
      <c r="R412" s="97">
        <f t="shared" si="6"/>
        <v>227193.67999999996</v>
      </c>
    </row>
    <row r="413" spans="1:18" s="98" customFormat="1" ht="15" customHeight="1">
      <c r="A413" s="92">
        <v>9006</v>
      </c>
      <c r="B413" s="93" t="s">
        <v>240</v>
      </c>
      <c r="C413" s="94">
        <v>2</v>
      </c>
      <c r="D413" s="92">
        <v>14103</v>
      </c>
      <c r="E413" s="95" t="s">
        <v>138</v>
      </c>
      <c r="F413" s="96">
        <v>950</v>
      </c>
      <c r="G413" s="96">
        <v>950</v>
      </c>
      <c r="H413" s="96">
        <v>950</v>
      </c>
      <c r="I413" s="96">
        <v>950</v>
      </c>
      <c r="J413" s="96">
        <v>950</v>
      </c>
      <c r="K413" s="96">
        <v>950</v>
      </c>
      <c r="L413" s="96">
        <v>950</v>
      </c>
      <c r="M413" s="96">
        <v>950</v>
      </c>
      <c r="N413" s="96">
        <v>950</v>
      </c>
      <c r="O413" s="96">
        <v>950</v>
      </c>
      <c r="P413" s="96">
        <v>950</v>
      </c>
      <c r="Q413" s="96">
        <v>950</v>
      </c>
      <c r="R413" s="97">
        <f t="shared" si="6"/>
        <v>11400</v>
      </c>
    </row>
    <row r="414" spans="1:18" s="98" customFormat="1" ht="15" customHeight="1">
      <c r="A414" s="92">
        <v>9006</v>
      </c>
      <c r="B414" s="93" t="s">
        <v>240</v>
      </c>
      <c r="C414" s="94">
        <v>2</v>
      </c>
      <c r="D414" s="92">
        <v>15201</v>
      </c>
      <c r="E414" s="95" t="s">
        <v>139</v>
      </c>
      <c r="F414" s="96">
        <v>1006.72</v>
      </c>
      <c r="G414" s="96">
        <v>1006.72</v>
      </c>
      <c r="H414" s="96">
        <v>1006.72</v>
      </c>
      <c r="I414" s="96">
        <v>1006.72</v>
      </c>
      <c r="J414" s="96">
        <v>1006.72</v>
      </c>
      <c r="K414" s="96">
        <v>1006.72</v>
      </c>
      <c r="L414" s="96">
        <v>1006.72</v>
      </c>
      <c r="M414" s="96">
        <v>1006.72</v>
      </c>
      <c r="N414" s="96">
        <v>1006.72</v>
      </c>
      <c r="O414" s="96">
        <v>1006.72</v>
      </c>
      <c r="P414" s="96">
        <v>1006.72</v>
      </c>
      <c r="Q414" s="96">
        <v>1006.69</v>
      </c>
      <c r="R414" s="97">
        <f t="shared" si="6"/>
        <v>12080.61</v>
      </c>
    </row>
    <row r="415" spans="1:18" s="98" customFormat="1" ht="15" customHeight="1">
      <c r="A415" s="92">
        <v>9006</v>
      </c>
      <c r="B415" s="93" t="s">
        <v>240</v>
      </c>
      <c r="C415" s="94">
        <v>2</v>
      </c>
      <c r="D415" s="92">
        <v>15401</v>
      </c>
      <c r="E415" s="95" t="s">
        <v>140</v>
      </c>
      <c r="F415" s="96">
        <v>2843.9</v>
      </c>
      <c r="G415" s="96">
        <v>2843.9</v>
      </c>
      <c r="H415" s="96">
        <v>2843.9</v>
      </c>
      <c r="I415" s="96">
        <v>2843.9</v>
      </c>
      <c r="J415" s="96">
        <v>2843.9</v>
      </c>
      <c r="K415" s="96">
        <v>2843.9</v>
      </c>
      <c r="L415" s="96">
        <v>2843.9</v>
      </c>
      <c r="M415" s="96">
        <v>2843.9</v>
      </c>
      <c r="N415" s="96">
        <v>2843.9</v>
      </c>
      <c r="O415" s="96">
        <v>2843.9</v>
      </c>
      <c r="P415" s="96">
        <v>2843.9</v>
      </c>
      <c r="Q415" s="96">
        <v>2843.91</v>
      </c>
      <c r="R415" s="97">
        <f t="shared" si="6"/>
        <v>34126.810000000012</v>
      </c>
    </row>
    <row r="416" spans="1:18" s="98" customFormat="1" ht="15" customHeight="1">
      <c r="A416" s="92">
        <v>9006</v>
      </c>
      <c r="B416" s="93" t="s">
        <v>240</v>
      </c>
      <c r="C416" s="94">
        <v>2</v>
      </c>
      <c r="D416" s="92">
        <v>15404</v>
      </c>
      <c r="E416" s="95" t="s">
        <v>142</v>
      </c>
      <c r="F416" s="96">
        <v>5672.4</v>
      </c>
      <c r="G416" s="96">
        <v>5672.4</v>
      </c>
      <c r="H416" s="96">
        <v>5672.4</v>
      </c>
      <c r="I416" s="96">
        <v>5672.4</v>
      </c>
      <c r="J416" s="96">
        <v>5672.4</v>
      </c>
      <c r="K416" s="96">
        <v>5672.4</v>
      </c>
      <c r="L416" s="96">
        <v>5672.4</v>
      </c>
      <c r="M416" s="96">
        <v>5672.4</v>
      </c>
      <c r="N416" s="96">
        <v>5672.4</v>
      </c>
      <c r="O416" s="96">
        <v>5672.4</v>
      </c>
      <c r="P416" s="96">
        <v>5672.4</v>
      </c>
      <c r="Q416" s="96">
        <v>5672.44</v>
      </c>
      <c r="R416" s="97">
        <f t="shared" si="6"/>
        <v>68068.840000000011</v>
      </c>
    </row>
    <row r="417" spans="1:18" s="98" customFormat="1" ht="15" customHeight="1">
      <c r="A417" s="92">
        <v>9006</v>
      </c>
      <c r="B417" s="93" t="s">
        <v>240</v>
      </c>
      <c r="C417" s="94">
        <v>2</v>
      </c>
      <c r="D417" s="92">
        <v>15405</v>
      </c>
      <c r="E417" s="95" t="s">
        <v>143</v>
      </c>
      <c r="F417" s="96">
        <v>2818.64</v>
      </c>
      <c r="G417" s="96">
        <v>2818.64</v>
      </c>
      <c r="H417" s="96">
        <v>2818.64</v>
      </c>
      <c r="I417" s="96">
        <v>2818.64</v>
      </c>
      <c r="J417" s="96">
        <v>2818.64</v>
      </c>
      <c r="K417" s="96">
        <v>2818.64</v>
      </c>
      <c r="L417" s="96">
        <v>2818.64</v>
      </c>
      <c r="M417" s="96">
        <v>2818.64</v>
      </c>
      <c r="N417" s="96">
        <v>2818.64</v>
      </c>
      <c r="O417" s="96">
        <v>2818.64</v>
      </c>
      <c r="P417" s="96">
        <v>2818.64</v>
      </c>
      <c r="Q417" s="96">
        <v>2818.64</v>
      </c>
      <c r="R417" s="97">
        <f t="shared" si="6"/>
        <v>33823.68</v>
      </c>
    </row>
    <row r="418" spans="1:18" s="98" customFormat="1" ht="15" customHeight="1">
      <c r="A418" s="92">
        <v>9006</v>
      </c>
      <c r="B418" s="93" t="s">
        <v>240</v>
      </c>
      <c r="C418" s="94">
        <v>2</v>
      </c>
      <c r="D418" s="92">
        <v>15407</v>
      </c>
      <c r="E418" s="95" t="s">
        <v>144</v>
      </c>
      <c r="F418" s="99">
        <v>2135.7000000000003</v>
      </c>
      <c r="G418" s="99">
        <v>2135.7000000000003</v>
      </c>
      <c r="H418" s="99">
        <v>2135.7000000000003</v>
      </c>
      <c r="I418" s="99">
        <v>2135.7000000000003</v>
      </c>
      <c r="J418" s="99">
        <v>2135.7000000000003</v>
      </c>
      <c r="K418" s="99">
        <v>2135.7000000000003</v>
      </c>
      <c r="L418" s="99">
        <v>2135.7000000000003</v>
      </c>
      <c r="M418" s="99">
        <v>2135.7000000000003</v>
      </c>
      <c r="N418" s="99">
        <v>2135.7000000000003</v>
      </c>
      <c r="O418" s="99">
        <v>2135.7000000000003</v>
      </c>
      <c r="P418" s="99">
        <v>2135.7000000000003</v>
      </c>
      <c r="Q418" s="99">
        <v>2135.7000000000003</v>
      </c>
      <c r="R418" s="97">
        <f t="shared" si="6"/>
        <v>25628.400000000005</v>
      </c>
    </row>
    <row r="419" spans="1:18" s="98" customFormat="1" ht="15" customHeight="1">
      <c r="A419" s="92">
        <v>9006</v>
      </c>
      <c r="B419" s="93" t="s">
        <v>240</v>
      </c>
      <c r="C419" s="94">
        <v>2</v>
      </c>
      <c r="D419" s="92">
        <v>15902</v>
      </c>
      <c r="E419" s="95" t="s">
        <v>145</v>
      </c>
      <c r="F419" s="96">
        <v>0</v>
      </c>
      <c r="G419" s="96">
        <v>0</v>
      </c>
      <c r="H419" s="96">
        <v>0</v>
      </c>
      <c r="I419" s="96">
        <v>0</v>
      </c>
      <c r="J419" s="96">
        <v>0</v>
      </c>
      <c r="K419" s="96">
        <v>0</v>
      </c>
      <c r="L419" s="96">
        <v>0</v>
      </c>
      <c r="M419" s="96">
        <v>1350</v>
      </c>
      <c r="N419" s="96">
        <v>0</v>
      </c>
      <c r="O419" s="96">
        <v>0</v>
      </c>
      <c r="P419" s="96">
        <v>0</v>
      </c>
      <c r="Q419" s="96">
        <v>0</v>
      </c>
      <c r="R419" s="97">
        <f t="shared" si="6"/>
        <v>1350</v>
      </c>
    </row>
    <row r="420" spans="1:18" s="98" customFormat="1" ht="15" customHeight="1">
      <c r="A420" s="92">
        <v>9006</v>
      </c>
      <c r="B420" s="93" t="s">
        <v>240</v>
      </c>
      <c r="C420" s="94">
        <v>2</v>
      </c>
      <c r="D420" s="92">
        <v>15903</v>
      </c>
      <c r="E420" s="95" t="s">
        <v>146</v>
      </c>
      <c r="F420" s="96">
        <v>0</v>
      </c>
      <c r="G420" s="96">
        <v>0</v>
      </c>
      <c r="H420" s="96">
        <v>0</v>
      </c>
      <c r="I420" s="96">
        <v>0</v>
      </c>
      <c r="J420" s="96">
        <v>0</v>
      </c>
      <c r="K420" s="96">
        <v>0</v>
      </c>
      <c r="L420" s="96">
        <v>0</v>
      </c>
      <c r="M420" s="96">
        <v>26400</v>
      </c>
      <c r="N420" s="96"/>
      <c r="O420" s="96"/>
      <c r="P420" s="96">
        <v>0</v>
      </c>
      <c r="Q420" s="96">
        <v>0</v>
      </c>
      <c r="R420" s="97">
        <f t="shared" si="6"/>
        <v>26400</v>
      </c>
    </row>
    <row r="421" spans="1:18" s="98" customFormat="1" ht="15" customHeight="1">
      <c r="A421" s="92">
        <v>9006</v>
      </c>
      <c r="B421" s="93" t="s">
        <v>240</v>
      </c>
      <c r="C421" s="94">
        <v>2</v>
      </c>
      <c r="D421" s="92">
        <v>15904</v>
      </c>
      <c r="E421" s="95" t="s">
        <v>147</v>
      </c>
      <c r="F421" s="96">
        <v>0</v>
      </c>
      <c r="G421" s="96">
        <v>0</v>
      </c>
      <c r="H421" s="96">
        <v>0</v>
      </c>
      <c r="I421" s="96">
        <v>0</v>
      </c>
      <c r="J421" s="96">
        <v>12600</v>
      </c>
      <c r="K421" s="96">
        <v>0</v>
      </c>
      <c r="L421" s="96">
        <v>0</v>
      </c>
      <c r="M421" s="96">
        <v>0</v>
      </c>
      <c r="N421" s="96">
        <v>0</v>
      </c>
      <c r="O421" s="96">
        <v>0</v>
      </c>
      <c r="P421" s="96">
        <v>0</v>
      </c>
      <c r="Q421" s="96">
        <v>0</v>
      </c>
      <c r="R421" s="97">
        <f t="shared" si="6"/>
        <v>12600</v>
      </c>
    </row>
    <row r="422" spans="1:18" s="98" customFormat="1" ht="15" customHeight="1">
      <c r="A422" s="92">
        <v>9006</v>
      </c>
      <c r="B422" s="93" t="s">
        <v>240</v>
      </c>
      <c r="C422" s="94">
        <v>2</v>
      </c>
      <c r="D422" s="92">
        <v>15905</v>
      </c>
      <c r="E422" s="95" t="s">
        <v>148</v>
      </c>
      <c r="F422" s="96">
        <v>0</v>
      </c>
      <c r="G422" s="96">
        <v>0</v>
      </c>
      <c r="H422" s="96">
        <v>0</v>
      </c>
      <c r="I422" s="96">
        <v>0</v>
      </c>
      <c r="J422" s="96">
        <v>0</v>
      </c>
      <c r="K422" s="96">
        <v>8400</v>
      </c>
      <c r="L422" s="96">
        <v>0</v>
      </c>
      <c r="M422" s="96">
        <v>0</v>
      </c>
      <c r="N422" s="96">
        <v>0</v>
      </c>
      <c r="O422" s="96">
        <v>0</v>
      </c>
      <c r="P422" s="96">
        <v>0</v>
      </c>
      <c r="Q422" s="96">
        <v>0</v>
      </c>
      <c r="R422" s="97">
        <f t="shared" si="6"/>
        <v>8400</v>
      </c>
    </row>
    <row r="423" spans="1:18" s="98" customFormat="1" ht="15" customHeight="1">
      <c r="A423" s="94">
        <v>9006</v>
      </c>
      <c r="B423" s="93" t="s">
        <v>240</v>
      </c>
      <c r="C423" s="94">
        <v>2</v>
      </c>
      <c r="D423" s="94">
        <v>21101</v>
      </c>
      <c r="E423" s="93" t="s">
        <v>150</v>
      </c>
      <c r="F423" s="99">
        <v>4000</v>
      </c>
      <c r="G423" s="99">
        <v>5000</v>
      </c>
      <c r="H423" s="99">
        <v>4000</v>
      </c>
      <c r="I423" s="99">
        <v>4000</v>
      </c>
      <c r="J423" s="99">
        <v>4000</v>
      </c>
      <c r="K423" s="99">
        <v>4000</v>
      </c>
      <c r="L423" s="99">
        <v>5000</v>
      </c>
      <c r="M423" s="99">
        <v>4000</v>
      </c>
      <c r="N423" s="99">
        <v>4000</v>
      </c>
      <c r="O423" s="99">
        <v>4000</v>
      </c>
      <c r="P423" s="99">
        <v>4000</v>
      </c>
      <c r="Q423" s="99">
        <v>4000</v>
      </c>
      <c r="R423" s="97">
        <f t="shared" si="6"/>
        <v>50000</v>
      </c>
    </row>
    <row r="424" spans="1:18" s="98" customFormat="1" ht="15" customHeight="1">
      <c r="A424" s="94">
        <v>9006</v>
      </c>
      <c r="B424" s="93" t="s">
        <v>240</v>
      </c>
      <c r="C424" s="94">
        <v>2</v>
      </c>
      <c r="D424" s="94">
        <v>21401</v>
      </c>
      <c r="E424" s="93" t="s">
        <v>151</v>
      </c>
      <c r="F424" s="99">
        <v>1500</v>
      </c>
      <c r="G424" s="99">
        <v>1000</v>
      </c>
      <c r="H424" s="99">
        <v>1500</v>
      </c>
      <c r="I424" s="99">
        <v>1000</v>
      </c>
      <c r="J424" s="99">
        <v>1500</v>
      </c>
      <c r="K424" s="99">
        <v>1000</v>
      </c>
      <c r="L424" s="99">
        <v>1500</v>
      </c>
      <c r="M424" s="99">
        <v>1000</v>
      </c>
      <c r="N424" s="99">
        <v>1000</v>
      </c>
      <c r="O424" s="99">
        <v>1000</v>
      </c>
      <c r="P424" s="99">
        <v>1000</v>
      </c>
      <c r="Q424" s="99">
        <v>1500</v>
      </c>
      <c r="R424" s="97">
        <f t="shared" si="6"/>
        <v>14500</v>
      </c>
    </row>
    <row r="425" spans="1:18" s="98" customFormat="1" ht="15" customHeight="1">
      <c r="A425" s="94">
        <v>9006</v>
      </c>
      <c r="B425" s="93" t="s">
        <v>240</v>
      </c>
      <c r="C425" s="94">
        <v>2</v>
      </c>
      <c r="D425" s="94">
        <v>27201</v>
      </c>
      <c r="E425" s="93" t="s">
        <v>222</v>
      </c>
      <c r="F425" s="99"/>
      <c r="G425" s="99">
        <v>1500</v>
      </c>
      <c r="H425" s="99"/>
      <c r="I425" s="99"/>
      <c r="J425" s="99"/>
      <c r="K425" s="99"/>
      <c r="L425" s="99">
        <v>1500</v>
      </c>
      <c r="M425" s="99"/>
      <c r="N425" s="99"/>
      <c r="O425" s="99"/>
      <c r="P425" s="99"/>
      <c r="Q425" s="99"/>
      <c r="R425" s="97">
        <f t="shared" si="6"/>
        <v>3000</v>
      </c>
    </row>
    <row r="426" spans="1:18" s="98" customFormat="1" ht="15" customHeight="1">
      <c r="A426" s="94">
        <v>9006</v>
      </c>
      <c r="B426" s="93" t="s">
        <v>240</v>
      </c>
      <c r="C426" s="94">
        <v>2</v>
      </c>
      <c r="D426" s="94">
        <v>29401</v>
      </c>
      <c r="E426" s="93" t="s">
        <v>155</v>
      </c>
      <c r="F426" s="99">
        <v>150</v>
      </c>
      <c r="G426" s="99"/>
      <c r="H426" s="99"/>
      <c r="I426" s="99">
        <v>150</v>
      </c>
      <c r="J426" s="99">
        <v>150</v>
      </c>
      <c r="K426" s="99">
        <v>150</v>
      </c>
      <c r="L426" s="99">
        <v>150</v>
      </c>
      <c r="M426" s="99"/>
      <c r="N426" s="99"/>
      <c r="O426" s="99">
        <v>150</v>
      </c>
      <c r="P426" s="99"/>
      <c r="Q426" s="99">
        <v>150</v>
      </c>
      <c r="R426" s="97">
        <f t="shared" si="6"/>
        <v>1050</v>
      </c>
    </row>
    <row r="427" spans="1:18" s="98" customFormat="1" ht="15" customHeight="1">
      <c r="A427" s="94">
        <v>9006</v>
      </c>
      <c r="B427" s="93" t="s">
        <v>240</v>
      </c>
      <c r="C427" s="94">
        <v>2</v>
      </c>
      <c r="D427" s="94">
        <v>29101</v>
      </c>
      <c r="E427" s="93" t="s">
        <v>223</v>
      </c>
      <c r="F427" s="99"/>
      <c r="G427" s="99">
        <v>750</v>
      </c>
      <c r="H427" s="99"/>
      <c r="I427" s="99"/>
      <c r="J427" s="99"/>
      <c r="K427" s="99"/>
      <c r="L427" s="99">
        <v>750</v>
      </c>
      <c r="M427" s="99"/>
      <c r="N427" s="99"/>
      <c r="O427" s="99"/>
      <c r="P427" s="99"/>
      <c r="Q427" s="99"/>
      <c r="R427" s="97">
        <f t="shared" si="6"/>
        <v>1500</v>
      </c>
    </row>
    <row r="428" spans="1:18" s="98" customFormat="1" ht="15" customHeight="1">
      <c r="A428" s="94">
        <v>9006</v>
      </c>
      <c r="B428" s="93" t="s">
        <v>240</v>
      </c>
      <c r="C428" s="94">
        <v>2</v>
      </c>
      <c r="D428" s="94">
        <v>31101</v>
      </c>
      <c r="E428" s="93" t="s">
        <v>157</v>
      </c>
      <c r="F428" s="99">
        <v>7465</v>
      </c>
      <c r="G428" s="99">
        <v>7465</v>
      </c>
      <c r="H428" s="99">
        <v>7465</v>
      </c>
      <c r="I428" s="99">
        <v>7465</v>
      </c>
      <c r="J428" s="99">
        <v>7465</v>
      </c>
      <c r="K428" s="99">
        <v>7465</v>
      </c>
      <c r="L428" s="99">
        <v>7465</v>
      </c>
      <c r="M428" s="99">
        <v>7465</v>
      </c>
      <c r="N428" s="99">
        <v>7465</v>
      </c>
      <c r="O428" s="99">
        <v>7465</v>
      </c>
      <c r="P428" s="99">
        <v>7465</v>
      </c>
      <c r="Q428" s="99">
        <v>7465</v>
      </c>
      <c r="R428" s="97">
        <f t="shared" si="6"/>
        <v>89580</v>
      </c>
    </row>
    <row r="429" spans="1:18" s="98" customFormat="1" ht="12.75">
      <c r="A429" s="94">
        <v>9006</v>
      </c>
      <c r="B429" s="93" t="s">
        <v>240</v>
      </c>
      <c r="C429" s="94">
        <v>2</v>
      </c>
      <c r="D429" s="94">
        <v>31401</v>
      </c>
      <c r="E429" s="93" t="s">
        <v>158</v>
      </c>
      <c r="F429" s="99">
        <v>817.25</v>
      </c>
      <c r="G429" s="99">
        <v>817.25</v>
      </c>
      <c r="H429" s="99">
        <v>817.25</v>
      </c>
      <c r="I429" s="99">
        <v>817.25</v>
      </c>
      <c r="J429" s="99">
        <v>817.25</v>
      </c>
      <c r="K429" s="99">
        <v>817.25</v>
      </c>
      <c r="L429" s="99">
        <v>817.25</v>
      </c>
      <c r="M429" s="99">
        <v>817.25</v>
      </c>
      <c r="N429" s="99">
        <v>817.25</v>
      </c>
      <c r="O429" s="99">
        <v>817.25</v>
      </c>
      <c r="P429" s="99">
        <v>817.25</v>
      </c>
      <c r="Q429" s="99">
        <v>817.25</v>
      </c>
      <c r="R429" s="97">
        <f t="shared" si="6"/>
        <v>9807</v>
      </c>
    </row>
    <row r="430" spans="1:18" s="98" customFormat="1" ht="12.75">
      <c r="A430" s="94">
        <v>9006</v>
      </c>
      <c r="B430" s="93" t="s">
        <v>240</v>
      </c>
      <c r="C430" s="94">
        <v>2</v>
      </c>
      <c r="D430" s="94">
        <v>37201</v>
      </c>
      <c r="E430" s="93" t="s">
        <v>164</v>
      </c>
      <c r="F430" s="99">
        <v>800</v>
      </c>
      <c r="G430" s="99">
        <v>800</v>
      </c>
      <c r="H430" s="99">
        <v>800</v>
      </c>
      <c r="I430" s="99">
        <v>800</v>
      </c>
      <c r="J430" s="99">
        <v>800</v>
      </c>
      <c r="K430" s="99">
        <v>800</v>
      </c>
      <c r="L430" s="99">
        <v>800</v>
      </c>
      <c r="M430" s="99">
        <v>800</v>
      </c>
      <c r="N430" s="99">
        <v>800</v>
      </c>
      <c r="O430" s="99">
        <v>800</v>
      </c>
      <c r="P430" s="99">
        <v>800</v>
      </c>
      <c r="Q430" s="99">
        <v>800</v>
      </c>
      <c r="R430" s="97">
        <f t="shared" si="6"/>
        <v>9600</v>
      </c>
    </row>
    <row r="431" spans="1:18" s="98" customFormat="1" ht="12.75">
      <c r="A431" s="94">
        <v>9006</v>
      </c>
      <c r="B431" s="93" t="s">
        <v>240</v>
      </c>
      <c r="C431" s="94">
        <v>2</v>
      </c>
      <c r="D431" s="92">
        <v>39801</v>
      </c>
      <c r="E431" s="95" t="s">
        <v>176</v>
      </c>
      <c r="F431" s="96">
        <v>617.16999999999996</v>
      </c>
      <c r="G431" s="96">
        <v>617.16999999999996</v>
      </c>
      <c r="H431" s="96">
        <v>617.16999999999996</v>
      </c>
      <c r="I431" s="96">
        <v>617.16999999999996</v>
      </c>
      <c r="J431" s="96">
        <v>617.16999999999996</v>
      </c>
      <c r="K431" s="96">
        <v>617.16999999999996</v>
      </c>
      <c r="L431" s="96">
        <v>617.16999999999996</v>
      </c>
      <c r="M431" s="96">
        <v>617.16999999999996</v>
      </c>
      <c r="N431" s="96">
        <v>617.16999999999996</v>
      </c>
      <c r="O431" s="96">
        <v>617.16999999999996</v>
      </c>
      <c r="P431" s="96">
        <v>617.16999999999996</v>
      </c>
      <c r="Q431" s="96">
        <v>617.16999999999996</v>
      </c>
      <c r="R431" s="97">
        <f t="shared" si="6"/>
        <v>7406.04</v>
      </c>
    </row>
    <row r="432" spans="1:18" s="98" customFormat="1" ht="12.75">
      <c r="A432" s="94">
        <v>9006</v>
      </c>
      <c r="B432" s="93" t="s">
        <v>240</v>
      </c>
      <c r="C432" s="94">
        <v>2</v>
      </c>
      <c r="D432" s="92">
        <v>39802</v>
      </c>
      <c r="E432" s="95" t="s">
        <v>177</v>
      </c>
      <c r="F432" s="96">
        <v>617.16999999999996</v>
      </c>
      <c r="G432" s="96">
        <v>617.16999999999996</v>
      </c>
      <c r="H432" s="96">
        <v>617.16999999999996</v>
      </c>
      <c r="I432" s="96">
        <v>617.16999999999996</v>
      </c>
      <c r="J432" s="96">
        <v>617.16999999999996</v>
      </c>
      <c r="K432" s="96">
        <v>617.16999999999996</v>
      </c>
      <c r="L432" s="96">
        <v>617.16999999999996</v>
      </c>
      <c r="M432" s="96">
        <v>617.16999999999996</v>
      </c>
      <c r="N432" s="96">
        <v>617.16999999999996</v>
      </c>
      <c r="O432" s="96">
        <v>617.16999999999996</v>
      </c>
      <c r="P432" s="96">
        <v>617.16999999999996</v>
      </c>
      <c r="Q432" s="96">
        <v>617.16999999999996</v>
      </c>
      <c r="R432" s="97">
        <f t="shared" si="6"/>
        <v>7406.04</v>
      </c>
    </row>
    <row r="433" spans="1:18" s="98" customFormat="1" ht="12.75">
      <c r="A433" s="94">
        <v>9006</v>
      </c>
      <c r="B433" s="93" t="s">
        <v>240</v>
      </c>
      <c r="C433" s="94">
        <v>2</v>
      </c>
      <c r="D433" s="92">
        <v>39803</v>
      </c>
      <c r="E433" s="95" t="s">
        <v>178</v>
      </c>
      <c r="F433" s="96">
        <v>4114.46</v>
      </c>
      <c r="G433" s="96">
        <v>4114.46</v>
      </c>
      <c r="H433" s="96">
        <v>4114.46</v>
      </c>
      <c r="I433" s="96">
        <v>4114.46</v>
      </c>
      <c r="J433" s="96">
        <v>4114.46</v>
      </c>
      <c r="K433" s="96">
        <v>4114.46</v>
      </c>
      <c r="L433" s="96">
        <v>4114.46</v>
      </c>
      <c r="M433" s="96">
        <v>4114.46</v>
      </c>
      <c r="N433" s="96">
        <v>4114.46</v>
      </c>
      <c r="O433" s="96">
        <v>4114.46</v>
      </c>
      <c r="P433" s="96">
        <v>4114.46</v>
      </c>
      <c r="Q433" s="96">
        <v>4114.55</v>
      </c>
      <c r="R433" s="97">
        <f t="shared" si="6"/>
        <v>49373.61</v>
      </c>
    </row>
    <row r="434" spans="1:18" s="98" customFormat="1" ht="12.75">
      <c r="A434" s="105">
        <v>9006</v>
      </c>
      <c r="B434" s="106" t="s">
        <v>240</v>
      </c>
      <c r="C434" s="105">
        <v>2</v>
      </c>
      <c r="D434" s="107">
        <v>39804</v>
      </c>
      <c r="E434" s="108" t="s">
        <v>179</v>
      </c>
      <c r="F434" s="109">
        <v>617.16999999999996</v>
      </c>
      <c r="G434" s="109">
        <v>617.16999999999996</v>
      </c>
      <c r="H434" s="109">
        <v>617.16999999999996</v>
      </c>
      <c r="I434" s="109">
        <v>617.16999999999996</v>
      </c>
      <c r="J434" s="109">
        <v>617.16999999999996</v>
      </c>
      <c r="K434" s="109">
        <v>617.16999999999996</v>
      </c>
      <c r="L434" s="109">
        <v>617.16999999999996</v>
      </c>
      <c r="M434" s="109">
        <v>617.16999999999996</v>
      </c>
      <c r="N434" s="109">
        <v>617.16999999999996</v>
      </c>
      <c r="O434" s="109">
        <v>617.16999999999996</v>
      </c>
      <c r="P434" s="109">
        <v>617.16999999999996</v>
      </c>
      <c r="Q434" s="109">
        <v>617.16999999999996</v>
      </c>
      <c r="R434" s="96">
        <f t="shared" si="6"/>
        <v>7406.04</v>
      </c>
    </row>
    <row r="435" spans="1:18" ht="15.75" thickBot="1"/>
    <row r="436" spans="1:18" ht="15.75" thickBot="1">
      <c r="E436" s="110" t="s">
        <v>241</v>
      </c>
      <c r="F436" s="111">
        <f>SUM(F9:F434)</f>
        <v>54953108.420456685</v>
      </c>
      <c r="G436" s="111">
        <f t="shared" ref="G436:Q436" si="7">SUM(G9:G434)</f>
        <v>24838556.250666685</v>
      </c>
      <c r="H436" s="111">
        <f t="shared" si="7"/>
        <v>23604839.028266694</v>
      </c>
      <c r="I436" s="111">
        <f t="shared" si="7"/>
        <v>20208986.529066686</v>
      </c>
      <c r="J436" s="111">
        <f t="shared" si="7"/>
        <v>17775279.127866693</v>
      </c>
      <c r="K436" s="111">
        <f t="shared" si="7"/>
        <v>21081492.539066691</v>
      </c>
      <c r="L436" s="111">
        <f t="shared" si="7"/>
        <v>18402023.716266688</v>
      </c>
      <c r="M436" s="111">
        <f t="shared" si="7"/>
        <v>15992512.347466685</v>
      </c>
      <c r="N436" s="111">
        <f t="shared" si="7"/>
        <v>17517079.602266692</v>
      </c>
      <c r="O436" s="111">
        <f t="shared" si="7"/>
        <v>15463305.163866688</v>
      </c>
      <c r="P436" s="111">
        <f t="shared" si="7"/>
        <v>14861957.224666685</v>
      </c>
      <c r="Q436" s="111">
        <f t="shared" si="7"/>
        <v>15023168.162266681</v>
      </c>
      <c r="R436" s="111">
        <f>SUM(R9:R434)</f>
        <v>259722308.11218992</v>
      </c>
    </row>
    <row r="440" spans="1:18">
      <c r="R440">
        <v>259722308.11219019</v>
      </c>
    </row>
    <row r="444" spans="1:18">
      <c r="R444" s="114">
        <f>R436-R440</f>
        <v>-2.6822090148925781E-7</v>
      </c>
    </row>
  </sheetData>
  <mergeCells count="1">
    <mergeCell ref="A6:R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topLeftCell="A7" workbookViewId="0">
      <selection activeCell="J27" sqref="J27"/>
    </sheetView>
  </sheetViews>
  <sheetFormatPr baseColWidth="10" defaultRowHeight="15"/>
  <cols>
    <col min="1" max="1" width="7.5703125" customWidth="1"/>
    <col min="3" max="3" width="16.5703125" customWidth="1"/>
    <col min="4" max="4" width="1.85546875" customWidth="1"/>
    <col min="5" max="5" width="9.85546875" customWidth="1"/>
    <col min="6" max="7" width="9.28515625" customWidth="1"/>
    <col min="8" max="8" width="8.28515625" customWidth="1"/>
    <col min="9" max="9" width="8.42578125" customWidth="1"/>
    <col min="10" max="10" width="7.85546875" customWidth="1"/>
    <col min="11" max="11" width="7.42578125" customWidth="1"/>
    <col min="12" max="12" width="6.42578125" customWidth="1"/>
    <col min="13" max="13" width="7.42578125" customWidth="1"/>
    <col min="15" max="15" width="9" customWidth="1"/>
    <col min="18" max="18" width="8.85546875" customWidth="1"/>
  </cols>
  <sheetData>
    <row r="1" spans="1:18" ht="50.25" customHeight="1">
      <c r="A1" s="602" t="s">
        <v>296</v>
      </c>
      <c r="B1" s="602"/>
      <c r="C1" s="602"/>
      <c r="D1" s="602"/>
      <c r="E1" s="602"/>
      <c r="F1" s="602"/>
      <c r="G1" s="602"/>
      <c r="H1" s="602"/>
      <c r="I1" s="602"/>
      <c r="J1" s="602"/>
      <c r="K1" s="602"/>
      <c r="L1" s="602"/>
      <c r="M1" s="602"/>
      <c r="N1" s="602"/>
      <c r="O1" s="602"/>
      <c r="P1" s="602"/>
      <c r="Q1" s="602"/>
      <c r="R1" s="602"/>
    </row>
    <row r="2" spans="1:18" ht="24" customHeight="1">
      <c r="A2" s="601" t="s">
        <v>297</v>
      </c>
      <c r="B2" s="601"/>
      <c r="C2" s="601"/>
      <c r="D2" s="601"/>
      <c r="E2" s="601"/>
      <c r="F2" s="601"/>
      <c r="G2" s="601"/>
      <c r="H2" s="601"/>
      <c r="I2" s="601"/>
      <c r="J2" s="601"/>
      <c r="K2" s="601"/>
      <c r="L2" s="601"/>
      <c r="M2" s="601"/>
      <c r="N2" s="601"/>
      <c r="O2" s="601"/>
      <c r="P2" s="601"/>
      <c r="Q2" s="601"/>
      <c r="R2" s="601"/>
    </row>
    <row r="3" spans="1:18" ht="27" customHeight="1" thickBot="1">
      <c r="A3" s="603" t="s">
        <v>298</v>
      </c>
      <c r="B3" s="603"/>
      <c r="C3" s="603"/>
      <c r="D3" s="603"/>
      <c r="E3" s="603"/>
      <c r="F3" s="603"/>
      <c r="G3" s="603"/>
      <c r="H3" s="603"/>
      <c r="I3" s="603"/>
      <c r="J3" s="603"/>
      <c r="K3" s="603"/>
      <c r="L3" s="603"/>
      <c r="M3" s="603"/>
      <c r="N3" s="603"/>
      <c r="O3" s="603"/>
      <c r="P3" s="603"/>
      <c r="Q3" s="603"/>
      <c r="R3" s="603"/>
    </row>
    <row r="4" spans="1:18" s="123" customFormat="1" ht="25.5" customHeight="1" thickBot="1">
      <c r="A4" s="611" t="s">
        <v>294</v>
      </c>
      <c r="B4" s="612"/>
      <c r="C4" s="613"/>
      <c r="D4" s="167"/>
      <c r="E4" s="167"/>
      <c r="F4" s="168" t="s">
        <v>272</v>
      </c>
      <c r="G4" s="168" t="s">
        <v>273</v>
      </c>
      <c r="H4" s="168" t="s">
        <v>274</v>
      </c>
      <c r="I4" s="168" t="s">
        <v>275</v>
      </c>
      <c r="J4" s="168" t="s">
        <v>276</v>
      </c>
      <c r="K4" s="168" t="s">
        <v>277</v>
      </c>
      <c r="L4" s="168" t="s">
        <v>278</v>
      </c>
      <c r="M4" s="168" t="s">
        <v>279</v>
      </c>
      <c r="N4" s="168" t="s">
        <v>280</v>
      </c>
      <c r="O4" s="168" t="s">
        <v>281</v>
      </c>
      <c r="P4" s="168" t="s">
        <v>282</v>
      </c>
      <c r="Q4" s="168" t="s">
        <v>283</v>
      </c>
      <c r="R4" s="169" t="s">
        <v>44</v>
      </c>
    </row>
    <row r="5" spans="1:18" ht="30.75" customHeight="1">
      <c r="A5" s="614" t="s">
        <v>4</v>
      </c>
      <c r="B5" s="615"/>
      <c r="C5" s="615"/>
      <c r="D5" s="618"/>
      <c r="E5" s="171" t="s">
        <v>31</v>
      </c>
      <c r="F5" s="172">
        <v>16</v>
      </c>
      <c r="G5" s="172">
        <v>9</v>
      </c>
      <c r="H5" s="172">
        <v>14</v>
      </c>
      <c r="I5" s="172">
        <v>9</v>
      </c>
      <c r="J5" s="172">
        <v>9</v>
      </c>
      <c r="K5" s="172">
        <v>14</v>
      </c>
      <c r="L5" s="172">
        <v>9</v>
      </c>
      <c r="M5" s="172">
        <v>9</v>
      </c>
      <c r="N5" s="172">
        <v>14</v>
      </c>
      <c r="O5" s="172">
        <v>9</v>
      </c>
      <c r="P5" s="172">
        <v>9</v>
      </c>
      <c r="Q5" s="172">
        <v>14</v>
      </c>
      <c r="R5" s="179">
        <f>SUM(F5:Q5)</f>
        <v>135</v>
      </c>
    </row>
    <row r="6" spans="1:18" ht="78.75" customHeight="1">
      <c r="A6" s="616"/>
      <c r="B6" s="617"/>
      <c r="C6" s="617"/>
      <c r="D6" s="619"/>
      <c r="E6" s="173" t="s">
        <v>45</v>
      </c>
      <c r="F6" s="174">
        <v>16</v>
      </c>
      <c r="G6" s="174">
        <v>9</v>
      </c>
      <c r="H6" s="174">
        <v>14</v>
      </c>
      <c r="I6" s="174"/>
      <c r="J6" s="174"/>
      <c r="K6" s="174"/>
      <c r="L6" s="174"/>
      <c r="M6" s="174"/>
      <c r="N6" s="174"/>
      <c r="O6" s="174"/>
      <c r="P6" s="174"/>
      <c r="Q6" s="174"/>
      <c r="R6" s="180">
        <f>SUM(F6:Q6)</f>
        <v>39</v>
      </c>
    </row>
    <row r="7" spans="1:18" ht="30.75" customHeight="1">
      <c r="A7" s="616" t="s">
        <v>49</v>
      </c>
      <c r="B7" s="617"/>
      <c r="C7" s="617"/>
      <c r="D7" s="381"/>
      <c r="E7" s="175" t="s">
        <v>31</v>
      </c>
      <c r="F7" s="176"/>
      <c r="G7" s="176"/>
      <c r="H7" s="176">
        <v>1</v>
      </c>
      <c r="I7" s="176"/>
      <c r="J7" s="176"/>
      <c r="K7" s="176">
        <v>1</v>
      </c>
      <c r="L7" s="176"/>
      <c r="M7" s="176"/>
      <c r="N7" s="176">
        <v>1</v>
      </c>
      <c r="O7" s="176"/>
      <c r="P7" s="176"/>
      <c r="Q7" s="176">
        <v>1</v>
      </c>
      <c r="R7" s="181">
        <f>SUM(F7:Q7)</f>
        <v>4</v>
      </c>
    </row>
    <row r="8" spans="1:18" ht="68.25" customHeight="1" thickBot="1">
      <c r="A8" s="620"/>
      <c r="B8" s="621"/>
      <c r="C8" s="621"/>
      <c r="D8" s="622"/>
      <c r="E8" s="177" t="s">
        <v>45</v>
      </c>
      <c r="F8" s="178"/>
      <c r="G8" s="178"/>
      <c r="H8" s="178">
        <v>1</v>
      </c>
      <c r="I8" s="178"/>
      <c r="J8" s="178"/>
      <c r="K8" s="178"/>
      <c r="L8" s="178"/>
      <c r="M8" s="178"/>
      <c r="N8" s="178"/>
      <c r="O8" s="178"/>
      <c r="P8" s="178"/>
      <c r="Q8" s="178"/>
      <c r="R8" s="182">
        <f>SUM(F8:Q8)</f>
        <v>1</v>
      </c>
    </row>
    <row r="9" spans="1:18">
      <c r="A9" s="161">
        <v>1</v>
      </c>
      <c r="B9" s="627" t="s">
        <v>284</v>
      </c>
      <c r="C9" s="627"/>
      <c r="D9" s="627"/>
      <c r="E9" s="627"/>
      <c r="F9" s="76" t="s">
        <v>295</v>
      </c>
      <c r="G9" s="76" t="s">
        <v>295</v>
      </c>
      <c r="H9" s="76" t="s">
        <v>295</v>
      </c>
      <c r="I9" s="76"/>
      <c r="J9" s="76"/>
      <c r="K9" s="76"/>
      <c r="L9" s="76"/>
      <c r="M9" s="76"/>
      <c r="N9" s="76"/>
      <c r="O9" s="76"/>
      <c r="P9" s="76"/>
      <c r="Q9" s="76"/>
      <c r="R9" s="163"/>
    </row>
    <row r="10" spans="1:18">
      <c r="A10" s="159">
        <v>2</v>
      </c>
      <c r="B10" s="609" t="s">
        <v>302</v>
      </c>
      <c r="C10" s="606"/>
      <c r="D10" s="606"/>
      <c r="E10" s="606"/>
      <c r="F10" s="73" t="s">
        <v>295</v>
      </c>
      <c r="G10" s="73" t="s">
        <v>295</v>
      </c>
      <c r="H10" s="73" t="s">
        <v>295</v>
      </c>
      <c r="I10" s="73"/>
      <c r="J10" s="73"/>
      <c r="K10" s="73"/>
      <c r="L10" s="73"/>
      <c r="M10" s="73"/>
      <c r="N10" s="73"/>
      <c r="O10" s="73"/>
      <c r="P10" s="73"/>
      <c r="Q10" s="73"/>
      <c r="R10" s="164"/>
    </row>
    <row r="11" spans="1:18">
      <c r="A11" s="159">
        <v>3</v>
      </c>
      <c r="B11" s="609" t="s">
        <v>303</v>
      </c>
      <c r="C11" s="606"/>
      <c r="D11" s="606"/>
      <c r="E11" s="606"/>
      <c r="F11" s="73" t="s">
        <v>295</v>
      </c>
      <c r="G11" s="73" t="s">
        <v>295</v>
      </c>
      <c r="H11" s="73" t="s">
        <v>295</v>
      </c>
      <c r="I11" s="73"/>
      <c r="J11" s="73"/>
      <c r="K11" s="73"/>
      <c r="L11" s="73"/>
      <c r="M11" s="73"/>
      <c r="N11" s="73"/>
      <c r="O11" s="73"/>
      <c r="P11" s="73"/>
      <c r="Q11" s="73"/>
      <c r="R11" s="164"/>
    </row>
    <row r="12" spans="1:18">
      <c r="A12" s="159">
        <v>4</v>
      </c>
      <c r="B12" s="609" t="s">
        <v>304</v>
      </c>
      <c r="C12" s="606"/>
      <c r="D12" s="606"/>
      <c r="E12" s="606"/>
      <c r="F12" s="73" t="s">
        <v>295</v>
      </c>
      <c r="G12" s="73" t="s">
        <v>295</v>
      </c>
      <c r="H12" s="73" t="s">
        <v>295</v>
      </c>
      <c r="I12" s="73"/>
      <c r="J12" s="73"/>
      <c r="K12" s="73"/>
      <c r="L12" s="73"/>
      <c r="M12" s="73"/>
      <c r="N12" s="73"/>
      <c r="O12" s="73"/>
      <c r="P12" s="73"/>
      <c r="Q12" s="73"/>
      <c r="R12" s="164"/>
    </row>
    <row r="13" spans="1:18">
      <c r="A13" s="159">
        <v>5</v>
      </c>
      <c r="B13" s="606" t="s">
        <v>305</v>
      </c>
      <c r="C13" s="606"/>
      <c r="D13" s="606"/>
      <c r="E13" s="606"/>
      <c r="F13" s="73" t="s">
        <v>295</v>
      </c>
      <c r="G13" s="73" t="s">
        <v>295</v>
      </c>
      <c r="H13" s="73" t="s">
        <v>295</v>
      </c>
      <c r="I13" s="73"/>
      <c r="J13" s="73"/>
      <c r="K13" s="73"/>
      <c r="L13" s="73"/>
      <c r="M13" s="73"/>
      <c r="N13" s="73"/>
      <c r="O13" s="73"/>
      <c r="P13" s="73"/>
      <c r="Q13" s="73"/>
      <c r="R13" s="164"/>
    </row>
    <row r="14" spans="1:18">
      <c r="A14" s="159">
        <v>6</v>
      </c>
      <c r="B14" s="606" t="s">
        <v>306</v>
      </c>
      <c r="C14" s="606"/>
      <c r="D14" s="606"/>
      <c r="E14" s="606"/>
      <c r="F14" s="73" t="s">
        <v>295</v>
      </c>
      <c r="G14" s="73" t="s">
        <v>295</v>
      </c>
      <c r="H14" s="73" t="s">
        <v>295</v>
      </c>
      <c r="I14" s="73"/>
      <c r="J14" s="73"/>
      <c r="K14" s="73"/>
      <c r="L14" s="73"/>
      <c r="M14" s="73"/>
      <c r="N14" s="73"/>
      <c r="O14" s="73"/>
      <c r="P14" s="73"/>
      <c r="Q14" s="73"/>
      <c r="R14" s="164"/>
    </row>
    <row r="15" spans="1:18">
      <c r="A15" s="159">
        <v>7</v>
      </c>
      <c r="B15" s="606" t="s">
        <v>307</v>
      </c>
      <c r="C15" s="606"/>
      <c r="D15" s="606"/>
      <c r="E15" s="606"/>
      <c r="F15" s="73" t="s">
        <v>295</v>
      </c>
      <c r="G15" s="73" t="s">
        <v>295</v>
      </c>
      <c r="H15" s="73" t="s">
        <v>295</v>
      </c>
      <c r="I15" s="73"/>
      <c r="J15" s="73"/>
      <c r="K15" s="73"/>
      <c r="L15" s="73"/>
      <c r="M15" s="73"/>
      <c r="N15" s="73"/>
      <c r="O15" s="73"/>
      <c r="P15" s="73"/>
      <c r="Q15" s="73"/>
      <c r="R15" s="164"/>
    </row>
    <row r="16" spans="1:18">
      <c r="A16" s="159">
        <v>8</v>
      </c>
      <c r="B16" s="606" t="s">
        <v>285</v>
      </c>
      <c r="C16" s="606"/>
      <c r="D16" s="606"/>
      <c r="E16" s="606"/>
      <c r="F16" s="73" t="s">
        <v>295</v>
      </c>
      <c r="G16" s="73" t="s">
        <v>295</v>
      </c>
      <c r="H16" s="73" t="s">
        <v>295</v>
      </c>
      <c r="I16" s="73"/>
      <c r="J16" s="73"/>
      <c r="K16" s="73"/>
      <c r="L16" s="73"/>
      <c r="M16" s="73"/>
      <c r="N16" s="73"/>
      <c r="O16" s="73"/>
      <c r="P16" s="73"/>
      <c r="Q16" s="73"/>
      <c r="R16" s="164"/>
    </row>
    <row r="17" spans="1:18">
      <c r="A17" s="159">
        <v>9</v>
      </c>
      <c r="B17" s="606" t="s">
        <v>286</v>
      </c>
      <c r="C17" s="606"/>
      <c r="D17" s="606"/>
      <c r="E17" s="606"/>
      <c r="F17" s="73" t="s">
        <v>295</v>
      </c>
      <c r="G17" s="73" t="s">
        <v>295</v>
      </c>
      <c r="H17" s="73" t="s">
        <v>295</v>
      </c>
      <c r="I17" s="73"/>
      <c r="J17" s="73"/>
      <c r="K17" s="73"/>
      <c r="L17" s="73"/>
      <c r="M17" s="73"/>
      <c r="N17" s="73"/>
      <c r="O17" s="73"/>
      <c r="P17" s="73"/>
      <c r="Q17" s="73"/>
      <c r="R17" s="164"/>
    </row>
    <row r="18" spans="1:18">
      <c r="A18" s="159">
        <v>10</v>
      </c>
      <c r="B18" s="604" t="s">
        <v>299</v>
      </c>
      <c r="C18" s="605"/>
      <c r="D18" s="607" t="s">
        <v>287</v>
      </c>
      <c r="E18" s="608"/>
      <c r="F18" s="73" t="s">
        <v>295</v>
      </c>
      <c r="G18" s="73"/>
      <c r="H18" s="73" t="s">
        <v>295</v>
      </c>
      <c r="I18" s="73"/>
      <c r="J18" s="73"/>
      <c r="K18" s="73"/>
      <c r="L18" s="73"/>
      <c r="M18" s="73"/>
      <c r="N18" s="73"/>
      <c r="O18" s="73"/>
      <c r="P18" s="73"/>
      <c r="Q18" s="73"/>
      <c r="R18" s="164"/>
    </row>
    <row r="19" spans="1:18">
      <c r="A19" s="159">
        <v>11</v>
      </c>
      <c r="B19" s="604" t="s">
        <v>300</v>
      </c>
      <c r="C19" s="605"/>
      <c r="D19" s="607" t="s">
        <v>288</v>
      </c>
      <c r="E19" s="608"/>
      <c r="F19" s="73" t="s">
        <v>295</v>
      </c>
      <c r="G19" s="73"/>
      <c r="H19" s="73" t="s">
        <v>295</v>
      </c>
      <c r="I19" s="73"/>
      <c r="J19" s="73"/>
      <c r="K19" s="73"/>
      <c r="L19" s="73"/>
      <c r="M19" s="73"/>
      <c r="N19" s="73"/>
      <c r="O19" s="73"/>
      <c r="P19" s="73"/>
      <c r="Q19" s="73"/>
      <c r="R19" s="164"/>
    </row>
    <row r="20" spans="1:18" ht="28.5" customHeight="1">
      <c r="A20" s="170">
        <v>12</v>
      </c>
      <c r="B20" s="623" t="s">
        <v>301</v>
      </c>
      <c r="C20" s="624"/>
      <c r="D20" s="625" t="s">
        <v>289</v>
      </c>
      <c r="E20" s="626"/>
      <c r="F20" s="162" t="s">
        <v>295</v>
      </c>
      <c r="G20" s="162"/>
      <c r="H20" s="162" t="s">
        <v>295</v>
      </c>
      <c r="I20" s="73"/>
      <c r="J20" s="73"/>
      <c r="K20" s="73"/>
      <c r="L20" s="73"/>
      <c r="M20" s="73"/>
      <c r="N20" s="73"/>
      <c r="O20" s="73"/>
      <c r="P20" s="73"/>
      <c r="Q20" s="73"/>
      <c r="R20" s="164"/>
    </row>
    <row r="21" spans="1:18">
      <c r="A21" s="159">
        <v>13</v>
      </c>
      <c r="B21" s="606" t="s">
        <v>299</v>
      </c>
      <c r="C21" s="606"/>
      <c r="D21" s="607" t="s">
        <v>290</v>
      </c>
      <c r="E21" s="608"/>
      <c r="F21" s="73" t="s">
        <v>295</v>
      </c>
      <c r="G21" s="73"/>
      <c r="H21" s="73" t="s">
        <v>295</v>
      </c>
      <c r="I21" s="73"/>
      <c r="J21" s="73"/>
      <c r="K21" s="73"/>
      <c r="L21" s="73"/>
      <c r="M21" s="73"/>
      <c r="N21" s="73"/>
      <c r="O21" s="73"/>
      <c r="P21" s="73"/>
      <c r="Q21" s="73"/>
      <c r="R21" s="164"/>
    </row>
    <row r="22" spans="1:18">
      <c r="A22" s="159">
        <v>14</v>
      </c>
      <c r="B22" s="604" t="s">
        <v>300</v>
      </c>
      <c r="C22" s="605"/>
      <c r="D22" s="607" t="s">
        <v>291</v>
      </c>
      <c r="E22" s="608"/>
      <c r="F22" s="73" t="s">
        <v>295</v>
      </c>
      <c r="G22" s="73"/>
      <c r="H22" s="73" t="s">
        <v>295</v>
      </c>
      <c r="I22" s="73"/>
      <c r="J22" s="73"/>
      <c r="K22" s="73"/>
      <c r="L22" s="73"/>
      <c r="M22" s="73"/>
      <c r="N22" s="73"/>
      <c r="O22" s="73"/>
      <c r="P22" s="73"/>
      <c r="Q22" s="73"/>
      <c r="R22" s="164"/>
    </row>
    <row r="23" spans="1:18">
      <c r="A23" s="159">
        <v>15</v>
      </c>
      <c r="B23" s="606" t="s">
        <v>292</v>
      </c>
      <c r="C23" s="606"/>
      <c r="D23" s="606"/>
      <c r="E23" s="606"/>
      <c r="F23" s="73" t="s">
        <v>295</v>
      </c>
      <c r="G23" s="73"/>
      <c r="H23" s="73"/>
      <c r="I23" s="73"/>
      <c r="J23" s="73"/>
      <c r="K23" s="73"/>
      <c r="L23" s="73"/>
      <c r="M23" s="73"/>
      <c r="N23" s="73"/>
      <c r="O23" s="73"/>
      <c r="P23" s="73"/>
      <c r="Q23" s="73"/>
      <c r="R23" s="164"/>
    </row>
    <row r="24" spans="1:18" ht="15.75" thickBot="1">
      <c r="A24" s="160">
        <v>16</v>
      </c>
      <c r="B24" s="610" t="s">
        <v>293</v>
      </c>
      <c r="C24" s="610"/>
      <c r="D24" s="610"/>
      <c r="E24" s="610"/>
      <c r="F24" s="73" t="s">
        <v>295</v>
      </c>
      <c r="G24" s="165"/>
      <c r="H24" s="165"/>
      <c r="I24" s="165"/>
      <c r="J24" s="165"/>
      <c r="K24" s="165"/>
      <c r="L24" s="165"/>
      <c r="M24" s="165"/>
      <c r="N24" s="165"/>
      <c r="O24" s="165"/>
      <c r="P24" s="165"/>
      <c r="Q24" s="165"/>
      <c r="R24" s="166"/>
    </row>
  </sheetData>
  <mergeCells count="29">
    <mergeCell ref="B23:E23"/>
    <mergeCell ref="B24:E24"/>
    <mergeCell ref="A4:C4"/>
    <mergeCell ref="B22:C22"/>
    <mergeCell ref="D21:E21"/>
    <mergeCell ref="D22:E22"/>
    <mergeCell ref="A5:C6"/>
    <mergeCell ref="D5:D6"/>
    <mergeCell ref="A7:C8"/>
    <mergeCell ref="D7:D8"/>
    <mergeCell ref="B20:C20"/>
    <mergeCell ref="D20:E20"/>
    <mergeCell ref="B9:E9"/>
    <mergeCell ref="B21:C21"/>
    <mergeCell ref="B17:E17"/>
    <mergeCell ref="B10:E10"/>
    <mergeCell ref="A2:R2"/>
    <mergeCell ref="A1:R1"/>
    <mergeCell ref="A3:R3"/>
    <mergeCell ref="B18:C18"/>
    <mergeCell ref="B19:C19"/>
    <mergeCell ref="B16:E16"/>
    <mergeCell ref="D18:E18"/>
    <mergeCell ref="D19:E19"/>
    <mergeCell ref="B11:E11"/>
    <mergeCell ref="B12:E12"/>
    <mergeCell ref="B13:E13"/>
    <mergeCell ref="B14:E14"/>
    <mergeCell ref="B15:E15"/>
  </mergeCells>
  <printOptions horizontalCentered="1"/>
  <pageMargins left="0.31496062992125984" right="0.11811023622047245" top="0.35433070866141736" bottom="0.35433070866141736" header="0.31496062992125984" footer="0.31496062992125984"/>
  <pageSetup scale="8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85"/>
  <sheetViews>
    <sheetView topLeftCell="A64" workbookViewId="0">
      <selection activeCell="J27" sqref="J27"/>
    </sheetView>
  </sheetViews>
  <sheetFormatPr baseColWidth="10" defaultRowHeight="15"/>
  <cols>
    <col min="1" max="1" width="4.5703125" customWidth="1"/>
    <col min="2" max="2" width="41.140625" style="188" customWidth="1"/>
    <col min="3" max="3" width="14" customWidth="1"/>
    <col min="4" max="4" width="12.140625" customWidth="1"/>
    <col min="5" max="7" width="14.140625" customWidth="1"/>
    <col min="8" max="8" width="12.7109375" style="204" customWidth="1"/>
    <col min="9" max="9" width="14.7109375" customWidth="1"/>
    <col min="10" max="10" width="27.42578125" customWidth="1"/>
    <col min="11" max="11" width="18.140625" customWidth="1"/>
  </cols>
  <sheetData>
    <row r="1" spans="1:11" ht="39.75" customHeight="1">
      <c r="A1" s="650" t="s">
        <v>308</v>
      </c>
      <c r="B1" s="650"/>
      <c r="C1" s="650"/>
      <c r="D1" s="650"/>
      <c r="E1" s="650"/>
      <c r="F1" s="650"/>
      <c r="G1" s="650"/>
      <c r="H1" s="650"/>
      <c r="I1" s="650"/>
      <c r="J1" s="650"/>
      <c r="K1" s="650"/>
    </row>
    <row r="2" spans="1:11" ht="10.5" customHeight="1">
      <c r="A2" s="205"/>
      <c r="B2" s="205"/>
      <c r="C2" s="205"/>
      <c r="D2" s="205"/>
      <c r="E2" s="205"/>
      <c r="F2" s="205"/>
      <c r="G2" s="205"/>
      <c r="H2" s="205"/>
      <c r="I2" s="205"/>
      <c r="J2" s="205"/>
      <c r="K2" s="205"/>
    </row>
    <row r="3" spans="1:11" ht="32.25" customHeight="1">
      <c r="A3" s="649" t="s">
        <v>309</v>
      </c>
      <c r="B3" s="649"/>
      <c r="C3" s="649"/>
      <c r="D3" s="649"/>
      <c r="E3" s="649"/>
      <c r="F3" s="649"/>
      <c r="G3" s="649"/>
      <c r="H3" s="649"/>
      <c r="I3" s="649"/>
      <c r="J3" s="649"/>
      <c r="K3" s="649"/>
    </row>
    <row r="4" spans="1:11" ht="6.75" customHeight="1" thickBot="1"/>
    <row r="5" spans="1:11" ht="15" customHeight="1">
      <c r="A5" s="644" t="s">
        <v>72</v>
      </c>
      <c r="B5" s="642" t="s">
        <v>73</v>
      </c>
      <c r="C5" s="628" t="s">
        <v>46</v>
      </c>
      <c r="D5" s="628" t="s">
        <v>28</v>
      </c>
      <c r="E5" s="642" t="s">
        <v>33</v>
      </c>
      <c r="F5" s="642" t="s">
        <v>34</v>
      </c>
      <c r="G5" s="642" t="s">
        <v>35</v>
      </c>
      <c r="H5" s="628" t="s">
        <v>74</v>
      </c>
      <c r="I5" s="628" t="s">
        <v>75</v>
      </c>
      <c r="J5" s="628" t="s">
        <v>76</v>
      </c>
      <c r="K5" s="629"/>
    </row>
    <row r="6" spans="1:11" ht="14.25" customHeight="1" thickBot="1">
      <c r="A6" s="645"/>
      <c r="B6" s="643"/>
      <c r="C6" s="641"/>
      <c r="D6" s="641"/>
      <c r="E6" s="643"/>
      <c r="F6" s="643"/>
      <c r="G6" s="643"/>
      <c r="H6" s="641"/>
      <c r="I6" s="641"/>
      <c r="J6" s="202" t="s">
        <v>30</v>
      </c>
      <c r="K6" s="203" t="s">
        <v>77</v>
      </c>
    </row>
    <row r="7" spans="1:11" ht="25.5">
      <c r="A7" s="630">
        <v>1</v>
      </c>
      <c r="B7" s="631" t="s">
        <v>1</v>
      </c>
      <c r="C7" s="633" t="s">
        <v>246</v>
      </c>
      <c r="D7" s="206" t="s">
        <v>3</v>
      </c>
      <c r="E7" s="207">
        <v>1</v>
      </c>
      <c r="F7" s="207">
        <v>1</v>
      </c>
      <c r="G7" s="207">
        <v>1</v>
      </c>
      <c r="H7" s="212">
        <v>991150</v>
      </c>
      <c r="I7" s="208">
        <f t="shared" ref="I7:I38" si="0">SUM(E7:G7)</f>
        <v>3</v>
      </c>
      <c r="J7" s="635" t="s">
        <v>95</v>
      </c>
      <c r="K7" s="637" t="s">
        <v>78</v>
      </c>
    </row>
    <row r="8" spans="1:11" ht="18" customHeight="1">
      <c r="A8" s="515"/>
      <c r="B8" s="632"/>
      <c r="C8" s="634"/>
      <c r="D8" s="209" t="s">
        <v>79</v>
      </c>
      <c r="E8" s="201">
        <v>37561336.050000004</v>
      </c>
      <c r="F8" s="201">
        <v>27574802.289999999</v>
      </c>
      <c r="G8" s="201">
        <v>13291757.619999997</v>
      </c>
      <c r="H8" s="213"/>
      <c r="I8" s="198">
        <f t="shared" si="0"/>
        <v>78427895.960000008</v>
      </c>
      <c r="J8" s="636"/>
      <c r="K8" s="638"/>
    </row>
    <row r="9" spans="1:11" ht="25.5">
      <c r="A9" s="515"/>
      <c r="B9" s="632"/>
      <c r="C9" s="527" t="s">
        <v>45</v>
      </c>
      <c r="D9" s="184" t="str">
        <f>D7</f>
        <v>Estados Financieros</v>
      </c>
      <c r="E9" s="190">
        <v>1</v>
      </c>
      <c r="F9" s="190">
        <v>1</v>
      </c>
      <c r="G9" s="190">
        <v>1</v>
      </c>
      <c r="H9" s="185"/>
      <c r="I9" s="39">
        <f t="shared" si="0"/>
        <v>3</v>
      </c>
      <c r="J9" s="639">
        <f>I9/I7</f>
        <v>1</v>
      </c>
      <c r="K9" s="640">
        <f>I10/I8</f>
        <v>1</v>
      </c>
    </row>
    <row r="10" spans="1:11" ht="31.5" customHeight="1">
      <c r="A10" s="515"/>
      <c r="B10" s="632"/>
      <c r="C10" s="527"/>
      <c r="D10" s="184" t="str">
        <f>D8</f>
        <v>Monto</v>
      </c>
      <c r="E10" s="194">
        <v>37561336.050000004</v>
      </c>
      <c r="F10" s="194">
        <v>27574802.289999999</v>
      </c>
      <c r="G10" s="194">
        <v>13291757.619999997</v>
      </c>
      <c r="H10" s="185"/>
      <c r="I10" s="33">
        <f t="shared" si="0"/>
        <v>78427895.960000008</v>
      </c>
      <c r="J10" s="639"/>
      <c r="K10" s="640"/>
    </row>
    <row r="11" spans="1:11" ht="15.75">
      <c r="A11" s="515">
        <v>2</v>
      </c>
      <c r="B11" s="632" t="s">
        <v>245</v>
      </c>
      <c r="C11" s="634" t="s">
        <v>246</v>
      </c>
      <c r="D11" s="209" t="s">
        <v>82</v>
      </c>
      <c r="E11" s="200">
        <v>31</v>
      </c>
      <c r="F11" s="200">
        <v>28</v>
      </c>
      <c r="G11" s="200">
        <v>30</v>
      </c>
      <c r="H11" s="646">
        <v>7836</v>
      </c>
      <c r="I11" s="210">
        <f t="shared" si="0"/>
        <v>89</v>
      </c>
      <c r="J11" s="636" t="s">
        <v>96</v>
      </c>
      <c r="K11" s="647" t="s">
        <v>78</v>
      </c>
    </row>
    <row r="12" spans="1:11" ht="15.75">
      <c r="A12" s="515"/>
      <c r="B12" s="632"/>
      <c r="C12" s="634"/>
      <c r="D12" s="209" t="s">
        <v>79</v>
      </c>
      <c r="E12" s="201">
        <v>872703.66000000027</v>
      </c>
      <c r="F12" s="201">
        <v>817903.10000000009</v>
      </c>
      <c r="G12" s="201">
        <v>727095.28</v>
      </c>
      <c r="H12" s="646"/>
      <c r="I12" s="198">
        <f t="shared" si="0"/>
        <v>2417702.04</v>
      </c>
      <c r="J12" s="636"/>
      <c r="K12" s="647"/>
    </row>
    <row r="13" spans="1:11" ht="15.75">
      <c r="A13" s="515"/>
      <c r="B13" s="632"/>
      <c r="C13" s="527" t="s">
        <v>45</v>
      </c>
      <c r="D13" s="184" t="str">
        <f>D11</f>
        <v>Reportes</v>
      </c>
      <c r="E13" s="191">
        <v>31</v>
      </c>
      <c r="F13" s="191">
        <v>29</v>
      </c>
      <c r="G13" s="191">
        <v>31</v>
      </c>
      <c r="H13" s="186"/>
      <c r="I13" s="39">
        <f t="shared" si="0"/>
        <v>91</v>
      </c>
      <c r="J13" s="639">
        <f>I13/I11</f>
        <v>1.0224719101123596</v>
      </c>
      <c r="K13" s="640">
        <f>I14/I12</f>
        <v>1</v>
      </c>
    </row>
    <row r="14" spans="1:11" ht="15.75">
      <c r="A14" s="515"/>
      <c r="B14" s="632"/>
      <c r="C14" s="527"/>
      <c r="D14" s="184" t="str">
        <f>D12</f>
        <v>Monto</v>
      </c>
      <c r="E14" s="194">
        <v>872703.66000000027</v>
      </c>
      <c r="F14" s="194">
        <v>817903.10000000009</v>
      </c>
      <c r="G14" s="194">
        <v>727095.28</v>
      </c>
      <c r="H14" s="186"/>
      <c r="I14" s="33">
        <f t="shared" si="0"/>
        <v>2417702.04</v>
      </c>
      <c r="J14" s="639"/>
      <c r="K14" s="640"/>
    </row>
    <row r="15" spans="1:11" ht="15.75">
      <c r="A15" s="515">
        <v>3</v>
      </c>
      <c r="B15" s="632" t="s">
        <v>6</v>
      </c>
      <c r="C15" s="634" t="s">
        <v>246</v>
      </c>
      <c r="D15" s="209" t="s">
        <v>91</v>
      </c>
      <c r="E15" s="200">
        <v>400</v>
      </c>
      <c r="F15" s="200">
        <v>450</v>
      </c>
      <c r="G15" s="200">
        <v>450</v>
      </c>
      <c r="H15" s="646">
        <v>7836</v>
      </c>
      <c r="I15" s="210">
        <f t="shared" si="0"/>
        <v>1300</v>
      </c>
      <c r="J15" s="636" t="s">
        <v>97</v>
      </c>
      <c r="K15" s="647" t="s">
        <v>78</v>
      </c>
    </row>
    <row r="16" spans="1:11" ht="15.75">
      <c r="A16" s="515"/>
      <c r="B16" s="632"/>
      <c r="C16" s="634"/>
      <c r="D16" s="209" t="s">
        <v>79</v>
      </c>
      <c r="E16" s="201">
        <v>226484.91999999998</v>
      </c>
      <c r="F16" s="201">
        <v>200593.44999999998</v>
      </c>
      <c r="G16" s="201">
        <v>200799.25</v>
      </c>
      <c r="H16" s="646"/>
      <c r="I16" s="198">
        <f t="shared" si="0"/>
        <v>627877.62</v>
      </c>
      <c r="J16" s="636"/>
      <c r="K16" s="647"/>
    </row>
    <row r="17" spans="1:11" ht="15.75">
      <c r="A17" s="515"/>
      <c r="B17" s="632"/>
      <c r="C17" s="527" t="s">
        <v>45</v>
      </c>
      <c r="D17" s="184" t="str">
        <f>D15</f>
        <v>Polizas</v>
      </c>
      <c r="E17" s="191">
        <v>455</v>
      </c>
      <c r="F17" s="191">
        <v>456</v>
      </c>
      <c r="G17" s="191">
        <v>475</v>
      </c>
      <c r="H17" s="186"/>
      <c r="I17" s="39">
        <f t="shared" si="0"/>
        <v>1386</v>
      </c>
      <c r="J17" s="639">
        <f>I17/I15</f>
        <v>1.0661538461538462</v>
      </c>
      <c r="K17" s="640">
        <f>I18/I16</f>
        <v>1</v>
      </c>
    </row>
    <row r="18" spans="1:11" ht="21.75" customHeight="1">
      <c r="A18" s="515"/>
      <c r="B18" s="632"/>
      <c r="C18" s="527"/>
      <c r="D18" s="184" t="str">
        <f>D16</f>
        <v>Monto</v>
      </c>
      <c r="E18" s="194">
        <v>226484.91999999998</v>
      </c>
      <c r="F18" s="194">
        <v>200593.44999999998</v>
      </c>
      <c r="G18" s="194">
        <v>200799.25</v>
      </c>
      <c r="H18" s="186"/>
      <c r="I18" s="33">
        <f t="shared" si="0"/>
        <v>627877.62</v>
      </c>
      <c r="J18" s="639"/>
      <c r="K18" s="640"/>
    </row>
    <row r="19" spans="1:11" ht="30" customHeight="1">
      <c r="A19" s="515">
        <v>4</v>
      </c>
      <c r="B19" s="632" t="s">
        <v>60</v>
      </c>
      <c r="C19" s="634" t="s">
        <v>246</v>
      </c>
      <c r="D19" s="209" t="s">
        <v>92</v>
      </c>
      <c r="E19" s="200">
        <v>55</v>
      </c>
      <c r="F19" s="200">
        <v>55</v>
      </c>
      <c r="G19" s="200">
        <v>55</v>
      </c>
      <c r="H19" s="646">
        <v>7836</v>
      </c>
      <c r="I19" s="210">
        <f t="shared" si="0"/>
        <v>165</v>
      </c>
      <c r="J19" s="636" t="s">
        <v>98</v>
      </c>
      <c r="K19" s="647" t="s">
        <v>78</v>
      </c>
    </row>
    <row r="20" spans="1:11" ht="15.75">
      <c r="A20" s="515"/>
      <c r="B20" s="632"/>
      <c r="C20" s="634"/>
      <c r="D20" s="209" t="s">
        <v>79</v>
      </c>
      <c r="E20" s="201">
        <v>1911.81</v>
      </c>
      <c r="F20" s="201">
        <v>4109.2199999999993</v>
      </c>
      <c r="G20" s="201">
        <v>4454.0999999999995</v>
      </c>
      <c r="H20" s="646"/>
      <c r="I20" s="198">
        <f t="shared" si="0"/>
        <v>10475.129999999997</v>
      </c>
      <c r="J20" s="636"/>
      <c r="K20" s="647"/>
    </row>
    <row r="21" spans="1:11" ht="25.5">
      <c r="A21" s="515"/>
      <c r="B21" s="632"/>
      <c r="C21" s="527" t="s">
        <v>45</v>
      </c>
      <c r="D21" s="184" t="str">
        <f>D19</f>
        <v>Conciliaciones Bancarias</v>
      </c>
      <c r="E21" s="192">
        <v>56</v>
      </c>
      <c r="F21" s="192">
        <v>56</v>
      </c>
      <c r="G21" s="192">
        <v>56</v>
      </c>
      <c r="H21" s="186"/>
      <c r="I21" s="39">
        <f t="shared" si="0"/>
        <v>168</v>
      </c>
      <c r="J21" s="639">
        <f>I21/I19</f>
        <v>1.0181818181818181</v>
      </c>
      <c r="K21" s="640">
        <f>I22/I20</f>
        <v>1</v>
      </c>
    </row>
    <row r="22" spans="1:11" ht="15.75">
      <c r="A22" s="515"/>
      <c r="B22" s="632"/>
      <c r="C22" s="527"/>
      <c r="D22" s="184" t="s">
        <v>79</v>
      </c>
      <c r="E22" s="194">
        <v>1911.81</v>
      </c>
      <c r="F22" s="194">
        <v>4109.2199999999993</v>
      </c>
      <c r="G22" s="194">
        <v>4454.0999999999995</v>
      </c>
      <c r="H22" s="186"/>
      <c r="I22" s="33">
        <f t="shared" si="0"/>
        <v>10475.129999999997</v>
      </c>
      <c r="J22" s="639"/>
      <c r="K22" s="640"/>
    </row>
    <row r="23" spans="1:11" ht="25.5">
      <c r="A23" s="515">
        <v>5</v>
      </c>
      <c r="B23" s="648" t="s">
        <v>243</v>
      </c>
      <c r="C23" s="634" t="s">
        <v>246</v>
      </c>
      <c r="D23" s="209" t="s">
        <v>3</v>
      </c>
      <c r="E23" s="200">
        <v>1</v>
      </c>
      <c r="F23" s="200">
        <v>1</v>
      </c>
      <c r="G23" s="200">
        <v>1</v>
      </c>
      <c r="H23" s="646">
        <v>7836</v>
      </c>
      <c r="I23" s="210">
        <f t="shared" si="0"/>
        <v>3</v>
      </c>
      <c r="J23" s="636" t="s">
        <v>81</v>
      </c>
      <c r="K23" s="647" t="s">
        <v>78</v>
      </c>
    </row>
    <row r="24" spans="1:11" ht="15.75">
      <c r="A24" s="515"/>
      <c r="B24" s="648"/>
      <c r="C24" s="634"/>
      <c r="D24" s="209" t="s">
        <v>79</v>
      </c>
      <c r="E24" s="201">
        <v>502900.89999999997</v>
      </c>
      <c r="F24" s="201">
        <v>435249.28999999992</v>
      </c>
      <c r="G24" s="201">
        <v>435939.99</v>
      </c>
      <c r="H24" s="646"/>
      <c r="I24" s="198">
        <f t="shared" si="0"/>
        <v>1374090.18</v>
      </c>
      <c r="J24" s="636"/>
      <c r="K24" s="647"/>
    </row>
    <row r="25" spans="1:11" ht="25.5">
      <c r="A25" s="515"/>
      <c r="B25" s="648"/>
      <c r="C25" s="527" t="s">
        <v>45</v>
      </c>
      <c r="D25" s="184" t="str">
        <f>D23</f>
        <v>Estados Financieros</v>
      </c>
      <c r="E25" s="191">
        <v>1</v>
      </c>
      <c r="F25" s="191">
        <v>1</v>
      </c>
      <c r="G25" s="191">
        <v>1</v>
      </c>
      <c r="H25" s="186"/>
      <c r="I25" s="39">
        <f t="shared" si="0"/>
        <v>3</v>
      </c>
      <c r="J25" s="639">
        <f>I25/I23</f>
        <v>1</v>
      </c>
      <c r="K25" s="640">
        <f>I26/I24</f>
        <v>1</v>
      </c>
    </row>
    <row r="26" spans="1:11" ht="20.25" customHeight="1">
      <c r="A26" s="515"/>
      <c r="B26" s="648"/>
      <c r="C26" s="527"/>
      <c r="D26" s="184" t="s">
        <v>79</v>
      </c>
      <c r="E26" s="194">
        <v>502900.89999999997</v>
      </c>
      <c r="F26" s="194">
        <v>435249.28999999992</v>
      </c>
      <c r="G26" s="194">
        <v>435939.99</v>
      </c>
      <c r="H26" s="186"/>
      <c r="I26" s="33">
        <f t="shared" si="0"/>
        <v>1374090.18</v>
      </c>
      <c r="J26" s="639"/>
      <c r="K26" s="640"/>
    </row>
    <row r="27" spans="1:11" ht="15.75">
      <c r="A27" s="515">
        <v>6</v>
      </c>
      <c r="B27" s="648" t="s">
        <v>271</v>
      </c>
      <c r="C27" s="634" t="s">
        <v>246</v>
      </c>
      <c r="D27" s="209" t="s">
        <v>93</v>
      </c>
      <c r="E27" s="200"/>
      <c r="F27" s="200"/>
      <c r="G27" s="200">
        <v>1</v>
      </c>
      <c r="H27" s="646">
        <v>991150</v>
      </c>
      <c r="I27" s="210">
        <f t="shared" si="0"/>
        <v>1</v>
      </c>
      <c r="J27" s="636" t="s">
        <v>99</v>
      </c>
      <c r="K27" s="647" t="s">
        <v>78</v>
      </c>
    </row>
    <row r="28" spans="1:11" ht="24" customHeight="1">
      <c r="A28" s="515"/>
      <c r="B28" s="648"/>
      <c r="C28" s="634"/>
      <c r="D28" s="209" t="s">
        <v>79</v>
      </c>
      <c r="E28" s="201"/>
      <c r="F28" s="201"/>
      <c r="G28" s="201">
        <v>54528.47</v>
      </c>
      <c r="H28" s="646"/>
      <c r="I28" s="198">
        <f t="shared" si="0"/>
        <v>54528.47</v>
      </c>
      <c r="J28" s="636"/>
      <c r="K28" s="647"/>
    </row>
    <row r="29" spans="1:11" ht="15.75">
      <c r="A29" s="515"/>
      <c r="B29" s="648"/>
      <c r="C29" s="527" t="s">
        <v>45</v>
      </c>
      <c r="D29" s="184" t="str">
        <f>D27</f>
        <v>Publicacion</v>
      </c>
      <c r="E29" s="191"/>
      <c r="F29" s="191"/>
      <c r="G29" s="191">
        <v>1</v>
      </c>
      <c r="H29" s="186"/>
      <c r="I29" s="39">
        <f t="shared" si="0"/>
        <v>1</v>
      </c>
      <c r="J29" s="639">
        <f>I29/I27</f>
        <v>1</v>
      </c>
      <c r="K29" s="640">
        <f>I30/I28</f>
        <v>1</v>
      </c>
    </row>
    <row r="30" spans="1:11" ht="30.75" customHeight="1">
      <c r="A30" s="515"/>
      <c r="B30" s="648"/>
      <c r="C30" s="527"/>
      <c r="D30" s="184" t="s">
        <v>79</v>
      </c>
      <c r="E30" s="194"/>
      <c r="F30" s="194"/>
      <c r="G30" s="194">
        <v>54528.47</v>
      </c>
      <c r="H30" s="186"/>
      <c r="I30" s="33">
        <f t="shared" si="0"/>
        <v>54528.47</v>
      </c>
      <c r="J30" s="639"/>
      <c r="K30" s="640"/>
    </row>
    <row r="31" spans="1:11" ht="18.75" customHeight="1">
      <c r="A31" s="515">
        <v>7</v>
      </c>
      <c r="B31" s="632" t="s">
        <v>7</v>
      </c>
      <c r="C31" s="634" t="s">
        <v>246</v>
      </c>
      <c r="D31" s="209" t="s">
        <v>83</v>
      </c>
      <c r="E31" s="200">
        <v>15</v>
      </c>
      <c r="F31" s="200">
        <v>12</v>
      </c>
      <c r="G31" s="200">
        <v>14</v>
      </c>
      <c r="H31" s="646">
        <v>7836</v>
      </c>
      <c r="I31" s="210">
        <f t="shared" si="0"/>
        <v>41</v>
      </c>
      <c r="J31" s="636" t="s">
        <v>8</v>
      </c>
      <c r="K31" s="647" t="s">
        <v>78</v>
      </c>
    </row>
    <row r="32" spans="1:11" ht="21.75" customHeight="1">
      <c r="A32" s="515"/>
      <c r="B32" s="632"/>
      <c r="C32" s="634"/>
      <c r="D32" s="209" t="s">
        <v>79</v>
      </c>
      <c r="E32" s="201">
        <v>154945.95000000001</v>
      </c>
      <c r="F32" s="201">
        <v>138860.23000000001</v>
      </c>
      <c r="G32" s="201">
        <v>138911.67999999999</v>
      </c>
      <c r="H32" s="646"/>
      <c r="I32" s="198">
        <f t="shared" si="0"/>
        <v>432717.86000000004</v>
      </c>
      <c r="J32" s="636"/>
      <c r="K32" s="647"/>
    </row>
    <row r="33" spans="1:11" ht="15.75">
      <c r="A33" s="515"/>
      <c r="B33" s="632"/>
      <c r="C33" s="527" t="s">
        <v>45</v>
      </c>
      <c r="D33" s="184" t="s">
        <v>83</v>
      </c>
      <c r="E33" s="191">
        <v>18</v>
      </c>
      <c r="F33" s="191">
        <v>12</v>
      </c>
      <c r="G33" s="191">
        <v>14</v>
      </c>
      <c r="H33" s="186"/>
      <c r="I33" s="39">
        <f t="shared" si="0"/>
        <v>44</v>
      </c>
      <c r="J33" s="639">
        <f>I33/I31</f>
        <v>1.0731707317073171</v>
      </c>
      <c r="K33" s="640">
        <f>I34/I32</f>
        <v>1</v>
      </c>
    </row>
    <row r="34" spans="1:11" ht="15.75">
      <c r="A34" s="515"/>
      <c r="B34" s="632"/>
      <c r="C34" s="527"/>
      <c r="D34" s="184" t="s">
        <v>79</v>
      </c>
      <c r="E34" s="194">
        <v>154945.95000000001</v>
      </c>
      <c r="F34" s="194">
        <v>138860.23000000001</v>
      </c>
      <c r="G34" s="194">
        <v>138911.67999999999</v>
      </c>
      <c r="H34" s="186"/>
      <c r="I34" s="33">
        <f t="shared" si="0"/>
        <v>432717.86000000004</v>
      </c>
      <c r="J34" s="639"/>
      <c r="K34" s="640"/>
    </row>
    <row r="35" spans="1:11" ht="15.75">
      <c r="A35" s="515">
        <v>8</v>
      </c>
      <c r="B35" s="632" t="s">
        <v>4</v>
      </c>
      <c r="C35" s="634" t="s">
        <v>246</v>
      </c>
      <c r="D35" s="209" t="s">
        <v>82</v>
      </c>
      <c r="E35" s="200">
        <v>16</v>
      </c>
      <c r="F35" s="200">
        <v>9</v>
      </c>
      <c r="G35" s="200">
        <v>14</v>
      </c>
      <c r="H35" s="646">
        <v>7836</v>
      </c>
      <c r="I35" s="210">
        <f t="shared" si="0"/>
        <v>39</v>
      </c>
      <c r="J35" s="636" t="s">
        <v>5</v>
      </c>
      <c r="K35" s="647" t="s">
        <v>78</v>
      </c>
    </row>
    <row r="36" spans="1:11" ht="21.75" customHeight="1">
      <c r="A36" s="515"/>
      <c r="B36" s="632"/>
      <c r="C36" s="634"/>
      <c r="D36" s="209" t="s">
        <v>79</v>
      </c>
      <c r="E36" s="201">
        <v>60580.350000000006</v>
      </c>
      <c r="F36" s="201">
        <v>63239.710000000006</v>
      </c>
      <c r="G36" s="201">
        <v>62549.48</v>
      </c>
      <c r="H36" s="646"/>
      <c r="I36" s="198">
        <f t="shared" si="0"/>
        <v>186369.54</v>
      </c>
      <c r="J36" s="636"/>
      <c r="K36" s="647"/>
    </row>
    <row r="37" spans="1:11" ht="24" customHeight="1">
      <c r="A37" s="515"/>
      <c r="B37" s="632"/>
      <c r="C37" s="527" t="s">
        <v>45</v>
      </c>
      <c r="D37" s="184" t="str">
        <f>D35</f>
        <v>Reportes</v>
      </c>
      <c r="E37" s="191">
        <v>16</v>
      </c>
      <c r="F37" s="191">
        <v>9</v>
      </c>
      <c r="G37" s="191">
        <v>14</v>
      </c>
      <c r="H37" s="186"/>
      <c r="I37" s="39">
        <f t="shared" si="0"/>
        <v>39</v>
      </c>
      <c r="J37" s="639">
        <f>I37/I35</f>
        <v>1</v>
      </c>
      <c r="K37" s="640">
        <f>I38/I36</f>
        <v>1</v>
      </c>
    </row>
    <row r="38" spans="1:11" ht="36" customHeight="1">
      <c r="A38" s="515"/>
      <c r="B38" s="632"/>
      <c r="C38" s="527"/>
      <c r="D38" s="184" t="str">
        <f>D36</f>
        <v>Monto</v>
      </c>
      <c r="E38" s="194">
        <v>60580.350000000006</v>
      </c>
      <c r="F38" s="194">
        <v>63239.710000000006</v>
      </c>
      <c r="G38" s="194">
        <v>62549.48</v>
      </c>
      <c r="H38" s="186"/>
      <c r="I38" s="33">
        <f t="shared" si="0"/>
        <v>186369.54</v>
      </c>
      <c r="J38" s="639"/>
      <c r="K38" s="640"/>
    </row>
    <row r="39" spans="1:11" ht="15.75">
      <c r="A39" s="515">
        <v>9</v>
      </c>
      <c r="B39" s="632" t="s">
        <v>49</v>
      </c>
      <c r="C39" s="634" t="s">
        <v>246</v>
      </c>
      <c r="D39" s="209" t="s">
        <v>93</v>
      </c>
      <c r="E39" s="200"/>
      <c r="F39" s="200"/>
      <c r="G39" s="200">
        <v>1</v>
      </c>
      <c r="H39" s="646">
        <v>7836</v>
      </c>
      <c r="I39" s="210">
        <f t="shared" ref="I39:I70" si="1">SUM(E39:G39)</f>
        <v>1</v>
      </c>
      <c r="J39" s="636" t="s">
        <v>100</v>
      </c>
      <c r="K39" s="647" t="s">
        <v>78</v>
      </c>
    </row>
    <row r="40" spans="1:11" ht="24" customHeight="1">
      <c r="A40" s="515"/>
      <c r="B40" s="632"/>
      <c r="C40" s="634"/>
      <c r="D40" s="209" t="s">
        <v>79</v>
      </c>
      <c r="E40" s="201"/>
      <c r="F40" s="201"/>
      <c r="G40" s="201">
        <v>6448.7699999999995</v>
      </c>
      <c r="H40" s="646"/>
      <c r="I40" s="198">
        <f t="shared" si="1"/>
        <v>6448.7699999999995</v>
      </c>
      <c r="J40" s="636"/>
      <c r="K40" s="647"/>
    </row>
    <row r="41" spans="1:11" ht="15.75">
      <c r="A41" s="515"/>
      <c r="B41" s="632"/>
      <c r="C41" s="527" t="s">
        <v>45</v>
      </c>
      <c r="D41" s="184" t="str">
        <f>D39</f>
        <v>Publicacion</v>
      </c>
      <c r="E41" s="191"/>
      <c r="F41" s="191"/>
      <c r="G41" s="191">
        <v>1</v>
      </c>
      <c r="H41" s="186"/>
      <c r="I41" s="39">
        <f t="shared" si="1"/>
        <v>1</v>
      </c>
      <c r="J41" s="639">
        <f>I41/I39</f>
        <v>1</v>
      </c>
      <c r="K41" s="640">
        <f>I42/I40</f>
        <v>1</v>
      </c>
    </row>
    <row r="42" spans="1:11" ht="18.75" customHeight="1">
      <c r="A42" s="515"/>
      <c r="B42" s="632"/>
      <c r="C42" s="527"/>
      <c r="D42" s="184" t="str">
        <f>D40</f>
        <v>Monto</v>
      </c>
      <c r="E42" s="194"/>
      <c r="F42" s="194"/>
      <c r="G42" s="194">
        <v>6448.7699999999995</v>
      </c>
      <c r="H42" s="186"/>
      <c r="I42" s="33">
        <f t="shared" si="1"/>
        <v>6448.7699999999995</v>
      </c>
      <c r="J42" s="639"/>
      <c r="K42" s="640"/>
    </row>
    <row r="43" spans="1:11" ht="15.75">
      <c r="A43" s="515">
        <v>10</v>
      </c>
      <c r="B43" s="632" t="s">
        <v>9</v>
      </c>
      <c r="C43" s="634" t="s">
        <v>246</v>
      </c>
      <c r="D43" s="209" t="s">
        <v>84</v>
      </c>
      <c r="E43" s="200">
        <v>2</v>
      </c>
      <c r="F43" s="200">
        <v>2</v>
      </c>
      <c r="G43" s="200">
        <v>2</v>
      </c>
      <c r="H43" s="646">
        <v>7836</v>
      </c>
      <c r="I43" s="210">
        <f t="shared" si="1"/>
        <v>6</v>
      </c>
      <c r="J43" s="636" t="s">
        <v>101</v>
      </c>
      <c r="K43" s="647" t="s">
        <v>78</v>
      </c>
    </row>
    <row r="44" spans="1:11" ht="15.75">
      <c r="A44" s="515"/>
      <c r="B44" s="632"/>
      <c r="C44" s="634"/>
      <c r="D44" s="209" t="s">
        <v>79</v>
      </c>
      <c r="E44" s="201">
        <v>1022997.81</v>
      </c>
      <c r="F44" s="201">
        <v>1809691.6300000004</v>
      </c>
      <c r="G44" s="201">
        <v>787846.00999999989</v>
      </c>
      <c r="H44" s="646"/>
      <c r="I44" s="198">
        <f t="shared" si="1"/>
        <v>3620535.45</v>
      </c>
      <c r="J44" s="636"/>
      <c r="K44" s="647"/>
    </row>
    <row r="45" spans="1:11" ht="15.75">
      <c r="A45" s="515"/>
      <c r="B45" s="632"/>
      <c r="C45" s="527" t="s">
        <v>45</v>
      </c>
      <c r="D45" s="184" t="str">
        <f>D43</f>
        <v>Nominas</v>
      </c>
      <c r="E45" s="193">
        <v>2</v>
      </c>
      <c r="F45" s="193">
        <v>2</v>
      </c>
      <c r="G45" s="193">
        <v>2</v>
      </c>
      <c r="H45" s="186"/>
      <c r="I45" s="39">
        <f t="shared" si="1"/>
        <v>6</v>
      </c>
      <c r="J45" s="639">
        <f>I45/I43</f>
        <v>1</v>
      </c>
      <c r="K45" s="640">
        <f>I46/I44</f>
        <v>1</v>
      </c>
    </row>
    <row r="46" spans="1:11" ht="15.75">
      <c r="A46" s="515"/>
      <c r="B46" s="632"/>
      <c r="C46" s="527"/>
      <c r="D46" s="184" t="str">
        <f>D44</f>
        <v>Monto</v>
      </c>
      <c r="E46" s="194">
        <v>1022997.81</v>
      </c>
      <c r="F46" s="194">
        <v>1809691.6300000004</v>
      </c>
      <c r="G46" s="194">
        <v>787846.00999999989</v>
      </c>
      <c r="H46" s="186"/>
      <c r="I46" s="33">
        <f t="shared" si="1"/>
        <v>3620535.45</v>
      </c>
      <c r="J46" s="639"/>
      <c r="K46" s="640"/>
    </row>
    <row r="47" spans="1:11" ht="15.75">
      <c r="A47" s="515">
        <v>11</v>
      </c>
      <c r="B47" s="632" t="s">
        <v>10</v>
      </c>
      <c r="C47" s="634" t="s">
        <v>246</v>
      </c>
      <c r="D47" s="209" t="s">
        <v>85</v>
      </c>
      <c r="E47" s="200">
        <v>500</v>
      </c>
      <c r="F47" s="200">
        <v>500</v>
      </c>
      <c r="G47" s="200">
        <v>500</v>
      </c>
      <c r="H47" s="646">
        <v>7836</v>
      </c>
      <c r="I47" s="210">
        <f t="shared" si="1"/>
        <v>1500</v>
      </c>
      <c r="J47" s="636" t="s">
        <v>11</v>
      </c>
      <c r="K47" s="647" t="s">
        <v>78</v>
      </c>
    </row>
    <row r="48" spans="1:11" ht="21" customHeight="1">
      <c r="A48" s="515"/>
      <c r="B48" s="632"/>
      <c r="C48" s="634"/>
      <c r="D48" s="209" t="s">
        <v>79</v>
      </c>
      <c r="E48" s="201">
        <v>291340.19999999995</v>
      </c>
      <c r="F48" s="201">
        <v>270638.70999999996</v>
      </c>
      <c r="G48" s="201">
        <v>572863.51999999979</v>
      </c>
      <c r="H48" s="646"/>
      <c r="I48" s="198">
        <f t="shared" si="1"/>
        <v>1134842.4299999997</v>
      </c>
      <c r="J48" s="636"/>
      <c r="K48" s="647"/>
    </row>
    <row r="49" spans="1:13" ht="15.75">
      <c r="A49" s="515"/>
      <c r="B49" s="632"/>
      <c r="C49" s="527" t="s">
        <v>45</v>
      </c>
      <c r="D49" s="184" t="s">
        <v>85</v>
      </c>
      <c r="E49" s="191">
        <v>562</v>
      </c>
      <c r="F49" s="191">
        <v>532</v>
      </c>
      <c r="G49" s="191">
        <v>429</v>
      </c>
      <c r="H49" s="186"/>
      <c r="I49" s="39">
        <f t="shared" si="1"/>
        <v>1523</v>
      </c>
      <c r="J49" s="639">
        <f>I49/I47</f>
        <v>1.0153333333333334</v>
      </c>
      <c r="K49" s="640">
        <f>I50/I48</f>
        <v>1</v>
      </c>
    </row>
    <row r="50" spans="1:13" ht="18" customHeight="1">
      <c r="A50" s="515"/>
      <c r="B50" s="632"/>
      <c r="C50" s="527"/>
      <c r="D50" s="184" t="s">
        <v>79</v>
      </c>
      <c r="E50" s="194">
        <v>291340.19999999995</v>
      </c>
      <c r="F50" s="194">
        <v>270638.70999999996</v>
      </c>
      <c r="G50" s="194">
        <v>572863.51999999979</v>
      </c>
      <c r="H50" s="186"/>
      <c r="I50" s="33">
        <f t="shared" si="1"/>
        <v>1134842.4299999997</v>
      </c>
      <c r="J50" s="639"/>
      <c r="K50" s="640"/>
    </row>
    <row r="51" spans="1:13" ht="15.75">
      <c r="A51" s="515">
        <v>12</v>
      </c>
      <c r="B51" s="632" t="s">
        <v>62</v>
      </c>
      <c r="C51" s="634" t="s">
        <v>246</v>
      </c>
      <c r="D51" s="209" t="s">
        <v>80</v>
      </c>
      <c r="E51" s="200">
        <v>10</v>
      </c>
      <c r="F51" s="200">
        <v>10</v>
      </c>
      <c r="G51" s="200">
        <v>10</v>
      </c>
      <c r="H51" s="646">
        <v>7836</v>
      </c>
      <c r="I51" s="199">
        <f t="shared" si="1"/>
        <v>30</v>
      </c>
      <c r="J51" s="636" t="s">
        <v>102</v>
      </c>
      <c r="K51" s="647" t="s">
        <v>78</v>
      </c>
    </row>
    <row r="52" spans="1:13" ht="50.25" customHeight="1">
      <c r="A52" s="515"/>
      <c r="B52" s="632"/>
      <c r="C52" s="634"/>
      <c r="D52" s="209" t="s">
        <v>79</v>
      </c>
      <c r="E52" s="201">
        <v>1531909.1699999995</v>
      </c>
      <c r="F52" s="201">
        <v>1377652.9700000002</v>
      </c>
      <c r="G52" s="201">
        <v>1413221.6</v>
      </c>
      <c r="H52" s="646"/>
      <c r="I52" s="198">
        <f t="shared" si="1"/>
        <v>4322783.74</v>
      </c>
      <c r="J52" s="636"/>
      <c r="K52" s="647"/>
    </row>
    <row r="53" spans="1:13" ht="14.25" customHeight="1">
      <c r="A53" s="515"/>
      <c r="B53" s="632"/>
      <c r="C53" s="527" t="s">
        <v>45</v>
      </c>
      <c r="D53" s="184" t="str">
        <f>D51</f>
        <v>Resguardos</v>
      </c>
      <c r="E53" s="195">
        <v>4</v>
      </c>
      <c r="F53" s="195">
        <v>13</v>
      </c>
      <c r="G53" s="196">
        <v>13</v>
      </c>
      <c r="H53" s="186"/>
      <c r="I53" s="157">
        <f t="shared" si="1"/>
        <v>30</v>
      </c>
      <c r="J53" s="639">
        <f>I53/I51</f>
        <v>1</v>
      </c>
      <c r="K53" s="640">
        <f>I54/I52</f>
        <v>1</v>
      </c>
    </row>
    <row r="54" spans="1:13" ht="15.75">
      <c r="A54" s="515"/>
      <c r="B54" s="632"/>
      <c r="C54" s="527"/>
      <c r="D54" s="184" t="s">
        <v>79</v>
      </c>
      <c r="E54" s="194">
        <v>1531909.1699999995</v>
      </c>
      <c r="F54" s="194">
        <v>1377652.9700000002</v>
      </c>
      <c r="G54" s="194">
        <v>1413221.6</v>
      </c>
      <c r="H54" s="186"/>
      <c r="I54" s="33">
        <f t="shared" si="1"/>
        <v>4322783.74</v>
      </c>
      <c r="J54" s="639"/>
      <c r="K54" s="640"/>
    </row>
    <row r="55" spans="1:13" ht="15.75">
      <c r="A55" s="515">
        <v>13</v>
      </c>
      <c r="B55" s="632" t="s">
        <v>61</v>
      </c>
      <c r="C55" s="634" t="s">
        <v>246</v>
      </c>
      <c r="D55" s="209" t="s">
        <v>82</v>
      </c>
      <c r="E55" s="200">
        <v>65</v>
      </c>
      <c r="F55" s="200">
        <v>65</v>
      </c>
      <c r="G55" s="200">
        <v>65</v>
      </c>
      <c r="H55" s="646">
        <v>7836</v>
      </c>
      <c r="I55" s="199">
        <f t="shared" si="1"/>
        <v>195</v>
      </c>
      <c r="J55" s="636" t="s">
        <v>12</v>
      </c>
      <c r="K55" s="647" t="s">
        <v>78</v>
      </c>
    </row>
    <row r="56" spans="1:13" ht="15.75">
      <c r="A56" s="515"/>
      <c r="B56" s="632"/>
      <c r="C56" s="634"/>
      <c r="D56" s="209" t="s">
        <v>79</v>
      </c>
      <c r="E56" s="198">
        <v>855079.08000000007</v>
      </c>
      <c r="F56" s="198">
        <v>298290.02999999997</v>
      </c>
      <c r="G56" s="198">
        <v>1061516.8799999999</v>
      </c>
      <c r="H56" s="646"/>
      <c r="I56" s="198">
        <f t="shared" si="1"/>
        <v>2214885.9900000002</v>
      </c>
      <c r="J56" s="636"/>
      <c r="K56" s="647"/>
      <c r="M56" s="221"/>
    </row>
    <row r="57" spans="1:13" ht="15.75">
      <c r="A57" s="515"/>
      <c r="B57" s="632"/>
      <c r="C57" s="527" t="s">
        <v>45</v>
      </c>
      <c r="D57" s="184" t="str">
        <f>D55</f>
        <v>Reportes</v>
      </c>
      <c r="E57" s="196">
        <v>46</v>
      </c>
      <c r="F57" s="196">
        <v>57</v>
      </c>
      <c r="G57" s="196">
        <v>72</v>
      </c>
      <c r="H57" s="186"/>
      <c r="I57" s="157">
        <f t="shared" si="1"/>
        <v>175</v>
      </c>
      <c r="J57" s="651">
        <f>I57/I55</f>
        <v>0.89743589743589747</v>
      </c>
      <c r="K57" s="640">
        <f>I58/I56</f>
        <v>1</v>
      </c>
    </row>
    <row r="58" spans="1:13" ht="15.75">
      <c r="A58" s="515"/>
      <c r="B58" s="632"/>
      <c r="C58" s="527"/>
      <c r="D58" s="184" t="s">
        <v>79</v>
      </c>
      <c r="E58" s="194">
        <v>855079.08000000007</v>
      </c>
      <c r="F58" s="194">
        <v>298290.02999999997</v>
      </c>
      <c r="G58" s="194">
        <v>1061516.8799999999</v>
      </c>
      <c r="H58" s="186"/>
      <c r="I58" s="33">
        <f t="shared" si="1"/>
        <v>2214885.9900000002</v>
      </c>
      <c r="J58" s="651"/>
      <c r="K58" s="640"/>
    </row>
    <row r="59" spans="1:13" ht="15.75">
      <c r="A59" s="515">
        <v>14</v>
      </c>
      <c r="B59" s="632" t="s">
        <v>13</v>
      </c>
      <c r="C59" s="634" t="s">
        <v>246</v>
      </c>
      <c r="D59" s="209" t="s">
        <v>86</v>
      </c>
      <c r="E59" s="199">
        <v>60</v>
      </c>
      <c r="F59" s="199">
        <v>60</v>
      </c>
      <c r="G59" s="199">
        <v>60</v>
      </c>
      <c r="H59" s="652">
        <v>7836</v>
      </c>
      <c r="I59" s="199">
        <f t="shared" si="1"/>
        <v>180</v>
      </c>
      <c r="J59" s="636" t="s">
        <v>14</v>
      </c>
      <c r="K59" s="647" t="s">
        <v>78</v>
      </c>
    </row>
    <row r="60" spans="1:13" ht="27" customHeight="1">
      <c r="A60" s="515"/>
      <c r="B60" s="632"/>
      <c r="C60" s="634"/>
      <c r="D60" s="209" t="s">
        <v>79</v>
      </c>
      <c r="E60" s="198">
        <v>183509.49</v>
      </c>
      <c r="F60" s="198">
        <v>158663.19999999998</v>
      </c>
      <c r="G60" s="198">
        <v>163704.01999999999</v>
      </c>
      <c r="H60" s="652"/>
      <c r="I60" s="198">
        <f t="shared" si="1"/>
        <v>505876.70999999996</v>
      </c>
      <c r="J60" s="636"/>
      <c r="K60" s="647"/>
    </row>
    <row r="61" spans="1:13" ht="15.75">
      <c r="A61" s="515"/>
      <c r="B61" s="632"/>
      <c r="C61" s="527" t="s">
        <v>45</v>
      </c>
      <c r="D61" s="184" t="str">
        <f>D59</f>
        <v>Requisiciones</v>
      </c>
      <c r="E61" s="196">
        <v>22</v>
      </c>
      <c r="F61" s="196">
        <v>104</v>
      </c>
      <c r="G61" s="196">
        <v>80</v>
      </c>
      <c r="H61" s="186"/>
      <c r="I61" s="70">
        <f t="shared" si="1"/>
        <v>206</v>
      </c>
      <c r="J61" s="651">
        <f>I61/I59</f>
        <v>1.1444444444444444</v>
      </c>
      <c r="K61" s="640">
        <f>I62/I60</f>
        <v>1</v>
      </c>
    </row>
    <row r="62" spans="1:13" ht="15.75">
      <c r="A62" s="515"/>
      <c r="B62" s="632"/>
      <c r="C62" s="527"/>
      <c r="D62" s="184" t="s">
        <v>79</v>
      </c>
      <c r="E62" s="194">
        <v>183509.49</v>
      </c>
      <c r="F62" s="194">
        <v>158663.19999999998</v>
      </c>
      <c r="G62" s="194">
        <v>163704.01999999999</v>
      </c>
      <c r="H62" s="186"/>
      <c r="I62" s="33">
        <f t="shared" si="1"/>
        <v>505876.70999999996</v>
      </c>
      <c r="J62" s="651"/>
      <c r="K62" s="640"/>
    </row>
    <row r="63" spans="1:13" ht="25.5">
      <c r="A63" s="515">
        <v>15</v>
      </c>
      <c r="B63" s="632" t="s">
        <v>65</v>
      </c>
      <c r="C63" s="634" t="s">
        <v>246</v>
      </c>
      <c r="D63" s="209" t="s">
        <v>94</v>
      </c>
      <c r="E63" s="198"/>
      <c r="F63" s="198"/>
      <c r="G63" s="199">
        <v>1</v>
      </c>
      <c r="H63" s="652">
        <v>7836</v>
      </c>
      <c r="I63" s="199">
        <f t="shared" si="1"/>
        <v>1</v>
      </c>
      <c r="J63" s="653" t="s">
        <v>103</v>
      </c>
      <c r="K63" s="647" t="s">
        <v>78</v>
      </c>
    </row>
    <row r="64" spans="1:13" ht="30.75" customHeight="1">
      <c r="A64" s="515"/>
      <c r="B64" s="632"/>
      <c r="C64" s="634"/>
      <c r="D64" s="209" t="s">
        <v>79</v>
      </c>
      <c r="E64" s="198"/>
      <c r="F64" s="198"/>
      <c r="G64" s="198">
        <v>18755.12</v>
      </c>
      <c r="H64" s="652"/>
      <c r="I64" s="198">
        <f t="shared" si="1"/>
        <v>18755.12</v>
      </c>
      <c r="J64" s="653"/>
      <c r="K64" s="647"/>
    </row>
    <row r="65" spans="1:12" ht="22.5" customHeight="1">
      <c r="A65" s="515"/>
      <c r="B65" s="632"/>
      <c r="C65" s="527" t="s">
        <v>45</v>
      </c>
      <c r="D65" s="184" t="str">
        <f>D63</f>
        <v>Padron de Proveedores</v>
      </c>
      <c r="E65" s="194"/>
      <c r="F65" s="194"/>
      <c r="G65" s="196">
        <v>1</v>
      </c>
      <c r="H65" s="185"/>
      <c r="I65" s="70">
        <f t="shared" si="1"/>
        <v>1</v>
      </c>
      <c r="J65" s="651">
        <f>I65/I63</f>
        <v>1</v>
      </c>
      <c r="K65" s="640">
        <f>I66/I64</f>
        <v>1</v>
      </c>
      <c r="L65" s="60"/>
    </row>
    <row r="66" spans="1:12" ht="15.75">
      <c r="A66" s="515"/>
      <c r="B66" s="632"/>
      <c r="C66" s="527"/>
      <c r="D66" s="184" t="s">
        <v>79</v>
      </c>
      <c r="E66" s="194"/>
      <c r="F66" s="194"/>
      <c r="G66" s="194">
        <v>18755.12</v>
      </c>
      <c r="H66" s="185"/>
      <c r="I66" s="33">
        <f t="shared" si="1"/>
        <v>18755.12</v>
      </c>
      <c r="J66" s="651"/>
      <c r="K66" s="640"/>
      <c r="L66" s="60"/>
    </row>
    <row r="67" spans="1:12" ht="15.75">
      <c r="A67" s="515">
        <v>16</v>
      </c>
      <c r="B67" s="632" t="s">
        <v>58</v>
      </c>
      <c r="C67" s="634" t="s">
        <v>246</v>
      </c>
      <c r="D67" s="209" t="s">
        <v>16</v>
      </c>
      <c r="E67" s="200"/>
      <c r="F67" s="200"/>
      <c r="G67" s="200"/>
      <c r="H67" s="646">
        <v>7836</v>
      </c>
      <c r="I67" s="210">
        <f t="shared" si="1"/>
        <v>0</v>
      </c>
      <c r="J67" s="636" t="s">
        <v>15</v>
      </c>
      <c r="K67" s="647" t="s">
        <v>78</v>
      </c>
    </row>
    <row r="68" spans="1:12" ht="15.75">
      <c r="A68" s="515"/>
      <c r="B68" s="632"/>
      <c r="C68" s="634"/>
      <c r="D68" s="209" t="s">
        <v>79</v>
      </c>
      <c r="E68" s="201">
        <v>249041.44999999995</v>
      </c>
      <c r="F68" s="201">
        <v>283825.54999999993</v>
      </c>
      <c r="G68" s="201">
        <v>277106.78000000003</v>
      </c>
      <c r="H68" s="646"/>
      <c r="I68" s="198">
        <f t="shared" si="1"/>
        <v>809973.77999999991</v>
      </c>
      <c r="J68" s="636"/>
      <c r="K68" s="647"/>
    </row>
    <row r="69" spans="1:12" ht="15.75">
      <c r="A69" s="515"/>
      <c r="B69" s="632"/>
      <c r="C69" s="527" t="s">
        <v>45</v>
      </c>
      <c r="D69" s="184" t="s">
        <v>16</v>
      </c>
      <c r="E69" s="191" t="s">
        <v>270</v>
      </c>
      <c r="F69" s="191" t="s">
        <v>270</v>
      </c>
      <c r="G69" s="191" t="s">
        <v>270</v>
      </c>
      <c r="H69" s="186"/>
      <c r="I69" s="39">
        <f t="shared" si="1"/>
        <v>0</v>
      </c>
      <c r="J69" s="651">
        <v>0</v>
      </c>
      <c r="K69" s="640">
        <f>I70/I68</f>
        <v>1</v>
      </c>
    </row>
    <row r="70" spans="1:12" ht="16.5" customHeight="1" thickBot="1">
      <c r="A70" s="589"/>
      <c r="B70" s="670"/>
      <c r="C70" s="566"/>
      <c r="D70" s="47" t="s">
        <v>79</v>
      </c>
      <c r="E70" s="197">
        <v>249041.44999999995</v>
      </c>
      <c r="F70" s="197">
        <v>283825.54999999993</v>
      </c>
      <c r="G70" s="197">
        <v>277106.78000000003</v>
      </c>
      <c r="H70" s="187"/>
      <c r="I70" s="50">
        <f t="shared" si="1"/>
        <v>809973.77999999991</v>
      </c>
      <c r="J70" s="671"/>
      <c r="K70" s="672"/>
    </row>
    <row r="71" spans="1:12">
      <c r="A71" s="654" t="s">
        <v>310</v>
      </c>
      <c r="B71" s="655"/>
      <c r="C71" s="633" t="s">
        <v>31</v>
      </c>
      <c r="D71" s="206" t="s">
        <v>88</v>
      </c>
      <c r="E71" s="219">
        <f>E7+E11+E15+E19+E23+E27+E31+E35+E39+E43+E47+E67+E51+E55+E59+E63</f>
        <v>1156</v>
      </c>
      <c r="F71" s="219">
        <f>F7+F11+F15+F19+F23+F27+F31+F35+F39+F43+F47+F67+F51+F55+F59+F63</f>
        <v>1193</v>
      </c>
      <c r="G71" s="219">
        <f>G7+G11+G15+G19+G23+G27+G31+G35+G39+G43+G47+G67+G51+G55+G59+G63</f>
        <v>1205</v>
      </c>
      <c r="H71" s="659"/>
      <c r="I71" s="219">
        <f>I7+I11+I15+I19+I23+I27+I31+I35+I39+I43+I47+I67+I51+I55+I59+I63</f>
        <v>3554</v>
      </c>
      <c r="J71" s="661" t="s">
        <v>89</v>
      </c>
      <c r="K71" s="663" t="s">
        <v>90</v>
      </c>
    </row>
    <row r="72" spans="1:12" ht="21" customHeight="1">
      <c r="A72" s="656"/>
      <c r="B72" s="435"/>
      <c r="C72" s="634"/>
      <c r="D72" s="209" t="s">
        <v>79</v>
      </c>
      <c r="E72" s="220">
        <f>E8+E12+E16+E20+E24+E28+E32+E36+E40+E44+E48+E52+E56+E60+E64+E68</f>
        <v>43514740.840000026</v>
      </c>
      <c r="F72" s="220">
        <f>F8+F12+F16+F20+F24+F28+F32+F36+F40+F44+F48+F52+F56+F60+F64+F68</f>
        <v>33433519.379999999</v>
      </c>
      <c r="G72" s="220">
        <f>G8+G12+G16+G20+G24+G28+G32+G36+G40+G44+G48+G52+G56+G60+G64+G68</f>
        <v>19217498.569999997</v>
      </c>
      <c r="H72" s="660"/>
      <c r="I72" s="220">
        <f>I8+I12+I16+I20+I24+I28+I32+I36+I40+I44+I48+I52+I56+I60+I64+I68</f>
        <v>96165758.790000007</v>
      </c>
      <c r="J72" s="662"/>
      <c r="K72" s="664"/>
    </row>
    <row r="73" spans="1:12" ht="14.25" customHeight="1">
      <c r="A73" s="656"/>
      <c r="B73" s="435"/>
      <c r="C73" s="665" t="s">
        <v>45</v>
      </c>
      <c r="D73" s="211" t="s">
        <v>88</v>
      </c>
      <c r="E73" s="214">
        <f>E9+E13+E17+E21+E25+E29+E33+E37+E41+E45+E49+E69</f>
        <v>1142</v>
      </c>
      <c r="F73" s="214">
        <f>F9+F13+F17+F21+F25+F29+F33+F37+F41+F45+F49+F69</f>
        <v>1098</v>
      </c>
      <c r="G73" s="214">
        <f>G9+G13+G17+G21+G25+G29+G33+G37+G41+G45+G49+G69</f>
        <v>1025</v>
      </c>
      <c r="H73" s="215"/>
      <c r="I73" s="216">
        <f>I9+I13+I17+I21+I25+I29+I33+I37+I41+I45+I49+I69+I53+I57+I61+I65</f>
        <v>3677</v>
      </c>
      <c r="J73" s="666">
        <f>I73/I71</f>
        <v>1.0346088913899831</v>
      </c>
      <c r="K73" s="668">
        <f>I74/I72</f>
        <v>1</v>
      </c>
    </row>
    <row r="74" spans="1:12" ht="18" thickBot="1">
      <c r="A74" s="657"/>
      <c r="B74" s="658"/>
      <c r="C74" s="584"/>
      <c r="D74" s="183" t="s">
        <v>79</v>
      </c>
      <c r="E74" s="217">
        <f>E10+E14+E18+E22+E26+E30+E34+E38+E42+E46+E50+E54+E58+E62+E66+E70</f>
        <v>43514740.840000026</v>
      </c>
      <c r="F74" s="217">
        <f>F10+F14+F18+F22+F26+F30+F34+F38+F42+F46+F50+F54+F58+F62+F66+F70</f>
        <v>33433519.379999999</v>
      </c>
      <c r="G74" s="217">
        <f>G10+G14+G18+G22+G26+G30+G34+G38+G42+G46+G50+G54+G58+G62+G66+G70</f>
        <v>19217498.569999997</v>
      </c>
      <c r="H74" s="218"/>
      <c r="I74" s="217">
        <f>I10+I14+I18+I22+I26+I30+I34+I38+I42+I46+I50+I70+I66+I54+I58+I62</f>
        <v>96165758.790000007</v>
      </c>
      <c r="J74" s="667"/>
      <c r="K74" s="669"/>
    </row>
    <row r="76" spans="1:12">
      <c r="I76" s="189"/>
    </row>
    <row r="77" spans="1:12">
      <c r="E77" s="158"/>
      <c r="F77" s="158"/>
      <c r="G77" s="158"/>
    </row>
    <row r="78" spans="1:12">
      <c r="I78" s="222"/>
    </row>
    <row r="79" spans="1:12">
      <c r="E79" s="158"/>
      <c r="I79" s="158"/>
    </row>
    <row r="83" spans="9:10">
      <c r="I83" s="223"/>
    </row>
    <row r="85" spans="9:10">
      <c r="J85" s="158"/>
    </row>
  </sheetData>
  <mergeCells count="163">
    <mergeCell ref="A71:B74"/>
    <mergeCell ref="C71:C72"/>
    <mergeCell ref="H71:H72"/>
    <mergeCell ref="J71:J72"/>
    <mergeCell ref="K71:K72"/>
    <mergeCell ref="C73:C74"/>
    <mergeCell ref="J73:J74"/>
    <mergeCell ref="K73:K74"/>
    <mergeCell ref="A67:A70"/>
    <mergeCell ref="B67:B70"/>
    <mergeCell ref="C67:C68"/>
    <mergeCell ref="H67:H68"/>
    <mergeCell ref="J67:J68"/>
    <mergeCell ref="K67:K68"/>
    <mergeCell ref="C69:C70"/>
    <mergeCell ref="J69:J70"/>
    <mergeCell ref="K69:K70"/>
    <mergeCell ref="A63:A66"/>
    <mergeCell ref="B63:B66"/>
    <mergeCell ref="C63:C64"/>
    <mergeCell ref="H63:H64"/>
    <mergeCell ref="J63:J64"/>
    <mergeCell ref="K63:K64"/>
    <mergeCell ref="C65:C66"/>
    <mergeCell ref="J65:J66"/>
    <mergeCell ref="K65:K66"/>
    <mergeCell ref="A59:A62"/>
    <mergeCell ref="B59:B62"/>
    <mergeCell ref="C59:C60"/>
    <mergeCell ref="H59:H60"/>
    <mergeCell ref="J59:J60"/>
    <mergeCell ref="K59:K60"/>
    <mergeCell ref="C61:C62"/>
    <mergeCell ref="J61:J62"/>
    <mergeCell ref="K61:K62"/>
    <mergeCell ref="A55:A58"/>
    <mergeCell ref="B55:B58"/>
    <mergeCell ref="C55:C56"/>
    <mergeCell ref="H55:H56"/>
    <mergeCell ref="J55:J56"/>
    <mergeCell ref="K55:K56"/>
    <mergeCell ref="C57:C58"/>
    <mergeCell ref="J57:J58"/>
    <mergeCell ref="K57:K58"/>
    <mergeCell ref="A3:K3"/>
    <mergeCell ref="A1:K1"/>
    <mergeCell ref="A51:A54"/>
    <mergeCell ref="B51:B54"/>
    <mergeCell ref="C51:C52"/>
    <mergeCell ref="H51:H52"/>
    <mergeCell ref="J51:J52"/>
    <mergeCell ref="K51:K52"/>
    <mergeCell ref="C53:C54"/>
    <mergeCell ref="J53:J54"/>
    <mergeCell ref="K53:K54"/>
    <mergeCell ref="A47:A50"/>
    <mergeCell ref="B47:B50"/>
    <mergeCell ref="C47:C48"/>
    <mergeCell ref="H47:H48"/>
    <mergeCell ref="J47:J48"/>
    <mergeCell ref="K47:K48"/>
    <mergeCell ref="C49:C50"/>
    <mergeCell ref="J49:J50"/>
    <mergeCell ref="K49:K50"/>
    <mergeCell ref="A43:A46"/>
    <mergeCell ref="B43:B46"/>
    <mergeCell ref="C43:C44"/>
    <mergeCell ref="H43:H44"/>
    <mergeCell ref="J43:J44"/>
    <mergeCell ref="K43:K44"/>
    <mergeCell ref="C45:C46"/>
    <mergeCell ref="J45:J46"/>
    <mergeCell ref="K45:K46"/>
    <mergeCell ref="A39:A42"/>
    <mergeCell ref="B39:B42"/>
    <mergeCell ref="C39:C40"/>
    <mergeCell ref="H39:H40"/>
    <mergeCell ref="J39:J40"/>
    <mergeCell ref="K39:K40"/>
    <mergeCell ref="C41:C42"/>
    <mergeCell ref="J41:J42"/>
    <mergeCell ref="K41:K42"/>
    <mergeCell ref="A35:A38"/>
    <mergeCell ref="B35:B38"/>
    <mergeCell ref="C35:C36"/>
    <mergeCell ref="H35:H36"/>
    <mergeCell ref="J35:J36"/>
    <mergeCell ref="K35:K36"/>
    <mergeCell ref="C37:C38"/>
    <mergeCell ref="J37:J38"/>
    <mergeCell ref="K37:K38"/>
    <mergeCell ref="A31:A34"/>
    <mergeCell ref="B31:B34"/>
    <mergeCell ref="C31:C32"/>
    <mergeCell ref="H31:H32"/>
    <mergeCell ref="J31:J32"/>
    <mergeCell ref="K31:K32"/>
    <mergeCell ref="C33:C34"/>
    <mergeCell ref="J33:J34"/>
    <mergeCell ref="K33:K34"/>
    <mergeCell ref="A27:A30"/>
    <mergeCell ref="B27:B30"/>
    <mergeCell ref="C27:C28"/>
    <mergeCell ref="H27:H28"/>
    <mergeCell ref="J27:J28"/>
    <mergeCell ref="K27:K28"/>
    <mergeCell ref="C29:C30"/>
    <mergeCell ref="J29:J30"/>
    <mergeCell ref="K29:K30"/>
    <mergeCell ref="A23:A26"/>
    <mergeCell ref="B23:B26"/>
    <mergeCell ref="C23:C24"/>
    <mergeCell ref="H23:H24"/>
    <mergeCell ref="J23:J24"/>
    <mergeCell ref="K23:K24"/>
    <mergeCell ref="C25:C26"/>
    <mergeCell ref="J25:J26"/>
    <mergeCell ref="K25:K26"/>
    <mergeCell ref="A19:A22"/>
    <mergeCell ref="B19:B22"/>
    <mergeCell ref="C19:C20"/>
    <mergeCell ref="H19:H20"/>
    <mergeCell ref="J19:J20"/>
    <mergeCell ref="K19:K20"/>
    <mergeCell ref="C21:C22"/>
    <mergeCell ref="J21:J22"/>
    <mergeCell ref="K21:K22"/>
    <mergeCell ref="A15:A18"/>
    <mergeCell ref="B15:B18"/>
    <mergeCell ref="C15:C16"/>
    <mergeCell ref="H15:H16"/>
    <mergeCell ref="J15:J16"/>
    <mergeCell ref="K15:K16"/>
    <mergeCell ref="C17:C18"/>
    <mergeCell ref="J17:J18"/>
    <mergeCell ref="K17:K18"/>
    <mergeCell ref="A11:A14"/>
    <mergeCell ref="B11:B14"/>
    <mergeCell ref="C11:C12"/>
    <mergeCell ref="H11:H12"/>
    <mergeCell ref="J11:J12"/>
    <mergeCell ref="K11:K12"/>
    <mergeCell ref="C13:C14"/>
    <mergeCell ref="J13:J14"/>
    <mergeCell ref="K13:K14"/>
    <mergeCell ref="J5:K5"/>
    <mergeCell ref="A7:A10"/>
    <mergeCell ref="B7:B10"/>
    <mergeCell ref="C7:C8"/>
    <mergeCell ref="J7:J8"/>
    <mergeCell ref="K7:K8"/>
    <mergeCell ref="C9:C10"/>
    <mergeCell ref="J9:J10"/>
    <mergeCell ref="K9:K10"/>
    <mergeCell ref="H5:H6"/>
    <mergeCell ref="I5:I6"/>
    <mergeCell ref="G5:G6"/>
    <mergeCell ref="A5:A6"/>
    <mergeCell ref="B5:B6"/>
    <mergeCell ref="C5:C6"/>
    <mergeCell ref="D5:D6"/>
    <mergeCell ref="E5:E6"/>
    <mergeCell ref="F5:F6"/>
  </mergeCells>
  <printOptions horizontalCentered="1"/>
  <pageMargins left="0.31496062992125984" right="0.31496062992125984" top="0.35433070866141736" bottom="0.6692913385826772"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POA FINAL 4° TRIMESTRE 2020</vt:lpstr>
      <vt:lpstr>Hoja4</vt:lpstr>
      <vt:lpstr>POA</vt:lpstr>
      <vt:lpstr>Hoja1</vt:lpstr>
      <vt:lpstr>FINANZAS</vt:lpstr>
      <vt:lpstr>pto.</vt:lpstr>
      <vt:lpstr>Hoja2</vt:lpstr>
      <vt:lpstr>POA!Área_de_impresión</vt:lpstr>
      <vt:lpstr>'POA FINAL 4° TRIMESTRE 2020'!Área_de_impresión</vt:lpstr>
      <vt:lpstr>Hoja2!Títulos_a_imprimir</vt:lpstr>
      <vt:lpstr>POA!Títulos_a_imprimir</vt:lpstr>
      <vt:lpstr>'POA FINAL 4° TRIMESTRE 2020'!Títulos_a_imprimir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USUARIO</cp:lastModifiedBy>
  <cp:lastPrinted>2021-04-08T22:37:09Z</cp:lastPrinted>
  <dcterms:created xsi:type="dcterms:W3CDTF">2019-10-04T20:44:54Z</dcterms:created>
  <dcterms:modified xsi:type="dcterms:W3CDTF">2021-04-08T22:37:12Z</dcterms:modified>
</cp:coreProperties>
</file>